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workbookProtection workbookPassword="FADC" lockStructure="1"/>
  <bookViews>
    <workbookView xWindow="0" yWindow="276" windowWidth="19176" windowHeight="7056" tabRatio="767" firstSheet="1" activeTab="3"/>
  </bookViews>
  <sheets>
    <sheet name="使用说明" sheetId="15" r:id="rId1"/>
    <sheet name="气体容器排放数据表" sheetId="5" r:id="rId2"/>
    <sheet name="液体容器排放数据表" sheetId="13" r:id="rId3"/>
    <sheet name="两相容器排放数据表" sheetId="20" r:id="rId4"/>
    <sheet name="排放物料组成计算" sheetId="18" state="hidden" r:id="rId5"/>
    <sheet name="常用物质的分子量" sheetId="19" state="hidden" r:id="rId6"/>
    <sheet name="相关系数取值" sheetId="17" state="hidden" r:id="rId7"/>
  </sheets>
  <calcPr calcId="145621"/>
</workbook>
</file>

<file path=xl/calcChain.xml><?xml version="1.0" encoding="utf-8"?>
<calcChain xmlns="http://schemas.openxmlformats.org/spreadsheetml/2006/main">
  <c r="Z2" i="20" l="1" a="1"/>
  <c r="Z2" i="20" s="1"/>
  <c r="G2" i="20"/>
  <c r="I2" i="13" a="1"/>
  <c r="I2" i="13" s="1"/>
  <c r="G2" i="13"/>
  <c r="G2" i="5"/>
  <c r="N4" i="18" l="1"/>
  <c r="N5" i="18"/>
  <c r="N6" i="18"/>
  <c r="N7" i="18"/>
  <c r="N8" i="18"/>
  <c r="N9" i="18"/>
  <c r="N10" i="18"/>
  <c r="N11" i="18"/>
  <c r="N12" i="18"/>
  <c r="N13" i="18"/>
  <c r="N14" i="18"/>
  <c r="N15" i="18"/>
  <c r="N16" i="18"/>
  <c r="N17" i="18"/>
  <c r="N18" i="18"/>
  <c r="N19" i="18"/>
  <c r="N20" i="18"/>
  <c r="N21" i="18"/>
  <c r="N22" i="18"/>
  <c r="N3" i="18"/>
  <c r="P2" i="20"/>
  <c r="J2" i="20"/>
  <c r="D4" i="18"/>
  <c r="D5" i="18"/>
  <c r="D6" i="18"/>
  <c r="D7" i="18"/>
  <c r="D8" i="18"/>
  <c r="D3" i="18"/>
  <c r="C4" i="18"/>
  <c r="C5" i="18"/>
  <c r="C6" i="18"/>
  <c r="C7" i="18"/>
  <c r="C8" i="18"/>
  <c r="C3" i="18"/>
  <c r="D28" i="18"/>
  <c r="D29" i="18"/>
  <c r="D30" i="18"/>
  <c r="D31" i="18"/>
  <c r="D32" i="18"/>
  <c r="D33" i="18"/>
  <c r="D39" i="18"/>
  <c r="D41" i="18"/>
  <c r="D27" i="18"/>
  <c r="C28" i="18"/>
  <c r="C29" i="18"/>
  <c r="C30" i="18"/>
  <c r="C31" i="18"/>
  <c r="C32" i="18"/>
  <c r="F32" i="18" s="1"/>
  <c r="C37" i="18"/>
  <c r="C38" i="18"/>
  <c r="C43" i="18"/>
  <c r="C45" i="18"/>
  <c r="C46" i="18"/>
  <c r="C27" i="18"/>
  <c r="F27" i="18" s="1"/>
  <c r="B46" i="18"/>
  <c r="A46" i="18"/>
  <c r="D46" i="18" s="1"/>
  <c r="B45" i="18"/>
  <c r="A45" i="18"/>
  <c r="D45" i="18" s="1"/>
  <c r="B44" i="18"/>
  <c r="A44" i="18"/>
  <c r="D44" i="18" s="1"/>
  <c r="B43" i="18"/>
  <c r="A43" i="18"/>
  <c r="D43" i="18" s="1"/>
  <c r="B42" i="18"/>
  <c r="A42" i="18"/>
  <c r="D42" i="18" s="1"/>
  <c r="B41" i="18"/>
  <c r="A41" i="18"/>
  <c r="C41" i="18" s="1"/>
  <c r="B40" i="18"/>
  <c r="A40" i="18"/>
  <c r="D40" i="18" s="1"/>
  <c r="B39" i="18"/>
  <c r="A39" i="18"/>
  <c r="C39" i="18" s="1"/>
  <c r="B38" i="18"/>
  <c r="A38" i="18"/>
  <c r="D38" i="18" s="1"/>
  <c r="B37" i="18"/>
  <c r="A37" i="18"/>
  <c r="D37" i="18" s="1"/>
  <c r="B36" i="18"/>
  <c r="A36" i="18"/>
  <c r="C36" i="18" s="1"/>
  <c r="F36" i="18" s="1"/>
  <c r="B35" i="18"/>
  <c r="A35" i="18"/>
  <c r="D35" i="18" s="1"/>
  <c r="B34" i="18"/>
  <c r="A34" i="18"/>
  <c r="C34" i="18" s="1"/>
  <c r="B33" i="18"/>
  <c r="A33" i="18"/>
  <c r="C33" i="18" s="1"/>
  <c r="F31" i="18"/>
  <c r="F30" i="18"/>
  <c r="F29" i="18"/>
  <c r="F28" i="18"/>
  <c r="N51" i="18"/>
  <c r="M51" i="18"/>
  <c r="O51" i="18" s="1"/>
  <c r="N50" i="18"/>
  <c r="M50" i="18"/>
  <c r="O50" i="18" s="1"/>
  <c r="N49" i="18"/>
  <c r="M49" i="18"/>
  <c r="O49" i="18" s="1"/>
  <c r="N48" i="18"/>
  <c r="M48" i="18"/>
  <c r="O48" i="18" s="1"/>
  <c r="N47" i="18"/>
  <c r="M47" i="18"/>
  <c r="O47" i="18" s="1"/>
  <c r="N46" i="18"/>
  <c r="M46" i="18"/>
  <c r="O46" i="18" s="1"/>
  <c r="N45" i="18"/>
  <c r="M45" i="18"/>
  <c r="O45" i="18" s="1"/>
  <c r="N44" i="18"/>
  <c r="M44" i="18"/>
  <c r="O44" i="18" s="1"/>
  <c r="N43" i="18"/>
  <c r="M43" i="18"/>
  <c r="O43" i="18" s="1"/>
  <c r="N42" i="18"/>
  <c r="M42" i="18"/>
  <c r="O42" i="18" s="1"/>
  <c r="N41" i="18"/>
  <c r="M41" i="18"/>
  <c r="O41" i="18" s="1"/>
  <c r="N40" i="18"/>
  <c r="M40" i="18"/>
  <c r="O40" i="18" s="1"/>
  <c r="N39" i="18"/>
  <c r="M39" i="18"/>
  <c r="O39" i="18" s="1"/>
  <c r="N38" i="18"/>
  <c r="M38" i="18"/>
  <c r="O38" i="18" s="1"/>
  <c r="N37" i="18"/>
  <c r="M37" i="18"/>
  <c r="O37" i="18" s="1"/>
  <c r="N36" i="18"/>
  <c r="M36" i="18"/>
  <c r="O36" i="18" s="1"/>
  <c r="N35" i="18"/>
  <c r="M35" i="18"/>
  <c r="O35" i="18" s="1"/>
  <c r="N34" i="18"/>
  <c r="M34" i="18"/>
  <c r="O34" i="18" s="1"/>
  <c r="C42" i="18" l="1"/>
  <c r="F42" i="18" s="1"/>
  <c r="D34" i="18"/>
  <c r="C35" i="18"/>
  <c r="F35" i="18" s="1"/>
  <c r="E27" i="18"/>
  <c r="C44" i="18"/>
  <c r="F44" i="18" s="1"/>
  <c r="C40" i="18"/>
  <c r="F40" i="18" s="1"/>
  <c r="D36" i="18"/>
  <c r="F37" i="18"/>
  <c r="G27" i="18"/>
  <c r="F34" i="18"/>
  <c r="F33" i="18"/>
  <c r="F45" i="18"/>
  <c r="F41" i="18"/>
  <c r="F46" i="18"/>
  <c r="F39" i="18"/>
  <c r="F38" i="18"/>
  <c r="F43" i="18"/>
  <c r="O3" i="18"/>
  <c r="AG2" i="20"/>
  <c r="W2" i="20"/>
  <c r="V2" i="20"/>
  <c r="I39" i="19"/>
  <c r="B39" i="19"/>
  <c r="I38" i="19"/>
  <c r="B38" i="19" s="1"/>
  <c r="I37" i="19"/>
  <c r="B37" i="19" s="1"/>
  <c r="I36" i="19"/>
  <c r="B36" i="19" s="1"/>
  <c r="I35" i="19"/>
  <c r="B35" i="19"/>
  <c r="I34" i="19"/>
  <c r="B34" i="19"/>
  <c r="I33" i="19"/>
  <c r="B33" i="19" s="1"/>
  <c r="I32" i="19"/>
  <c r="B32" i="19" s="1"/>
  <c r="I31" i="19"/>
  <c r="B31" i="19" s="1"/>
  <c r="I30" i="19"/>
  <c r="B30" i="19"/>
  <c r="I29" i="19"/>
  <c r="B29" i="19" s="1"/>
  <c r="I28" i="19"/>
  <c r="B28" i="19" s="1"/>
  <c r="I27" i="19"/>
  <c r="B27" i="19" s="1"/>
  <c r="I26" i="19"/>
  <c r="B26" i="19" s="1"/>
  <c r="I25" i="19"/>
  <c r="B25" i="19" s="1"/>
  <c r="I24" i="19"/>
  <c r="B24" i="19" s="1"/>
  <c r="I23" i="19"/>
  <c r="B23" i="19"/>
  <c r="I22" i="19"/>
  <c r="B22" i="19" s="1"/>
  <c r="I21" i="19"/>
  <c r="B21" i="19" s="1"/>
  <c r="I20" i="19"/>
  <c r="B20" i="19" s="1"/>
  <c r="I19" i="19"/>
  <c r="B19" i="19"/>
  <c r="I18" i="19"/>
  <c r="B18" i="19"/>
  <c r="I17" i="19"/>
  <c r="B17" i="19" s="1"/>
  <c r="I16" i="19"/>
  <c r="B16" i="19" s="1"/>
  <c r="I15" i="19"/>
  <c r="B15" i="19" s="1"/>
  <c r="D14" i="19"/>
  <c r="I14" i="19" s="1"/>
  <c r="B14" i="19" s="1"/>
  <c r="D13" i="19"/>
  <c r="I13" i="19" s="1"/>
  <c r="B13" i="19" s="1"/>
  <c r="D12" i="19"/>
  <c r="I12" i="19" s="1"/>
  <c r="B12" i="19" s="1"/>
  <c r="D11" i="19"/>
  <c r="I11" i="19" s="1"/>
  <c r="B11" i="19" s="1"/>
  <c r="I10" i="19"/>
  <c r="B10" i="19" s="1"/>
  <c r="D10" i="19"/>
  <c r="D9" i="19"/>
  <c r="I9" i="19" s="1"/>
  <c r="B9" i="19" s="1"/>
  <c r="D8" i="19"/>
  <c r="I8" i="19" s="1"/>
  <c r="B8" i="19" s="1"/>
  <c r="D7" i="19"/>
  <c r="I7" i="19" s="1"/>
  <c r="B7" i="19" s="1"/>
  <c r="D6" i="19"/>
  <c r="I6" i="19" s="1"/>
  <c r="B6" i="19" s="1"/>
  <c r="I5" i="19"/>
  <c r="B5" i="19" s="1"/>
  <c r="D5" i="19"/>
  <c r="D4" i="19"/>
  <c r="I4" i="19" s="1"/>
  <c r="B4" i="19" s="1"/>
  <c r="D3" i="19"/>
  <c r="I3" i="19" s="1"/>
  <c r="B3" i="19" s="1"/>
  <c r="D2" i="19"/>
  <c r="I2" i="19" s="1"/>
  <c r="B2" i="19" s="1"/>
  <c r="F8" i="18"/>
  <c r="A9" i="18"/>
  <c r="B9" i="18"/>
  <c r="A10" i="18"/>
  <c r="B10" i="18"/>
  <c r="A11" i="18"/>
  <c r="B11" i="18"/>
  <c r="A12" i="18"/>
  <c r="B12" i="18"/>
  <c r="A13" i="18"/>
  <c r="B13" i="18"/>
  <c r="A14" i="18"/>
  <c r="B14" i="18"/>
  <c r="A15" i="18"/>
  <c r="B15" i="18"/>
  <c r="A16" i="18"/>
  <c r="B16" i="18"/>
  <c r="A17" i="18"/>
  <c r="B17" i="18"/>
  <c r="A18" i="18"/>
  <c r="B18" i="18"/>
  <c r="A19" i="18"/>
  <c r="B19" i="18"/>
  <c r="A20" i="18"/>
  <c r="B20" i="18"/>
  <c r="A21" i="18"/>
  <c r="B21" i="18"/>
  <c r="A22" i="18"/>
  <c r="B22" i="18"/>
  <c r="H27" i="18" l="1"/>
  <c r="D18" i="18"/>
  <c r="C18" i="18"/>
  <c r="F18" i="18" s="1"/>
  <c r="C14" i="18"/>
  <c r="F14" i="18" s="1"/>
  <c r="D14" i="18"/>
  <c r="D10" i="18"/>
  <c r="C10" i="18"/>
  <c r="F10" i="18" s="1"/>
  <c r="C17" i="18"/>
  <c r="D17" i="18"/>
  <c r="C21" i="18"/>
  <c r="F21" i="18" s="1"/>
  <c r="D21" i="18"/>
  <c r="D13" i="18"/>
  <c r="C13" i="18"/>
  <c r="F13" i="18" s="1"/>
  <c r="D9" i="18"/>
  <c r="C9" i="18"/>
  <c r="F9" i="18" s="1"/>
  <c r="D16" i="18"/>
  <c r="C16" i="18"/>
  <c r="F16" i="18" s="1"/>
  <c r="C19" i="18"/>
  <c r="D19" i="18"/>
  <c r="D15" i="18"/>
  <c r="C15" i="18"/>
  <c r="C11" i="18"/>
  <c r="F11" i="18" s="1"/>
  <c r="D11" i="18"/>
  <c r="C20" i="18"/>
  <c r="F20" i="18" s="1"/>
  <c r="D20" i="18"/>
  <c r="C12" i="18"/>
  <c r="F12" i="18" s="1"/>
  <c r="D12" i="18"/>
  <c r="C22" i="18"/>
  <c r="F22" i="18" s="1"/>
  <c r="D22" i="18"/>
  <c r="X2" i="20"/>
  <c r="AH2" i="20" s="1"/>
  <c r="AH5" i="20" s="1"/>
  <c r="F17" i="18"/>
  <c r="F19" i="18"/>
  <c r="F15" i="18"/>
  <c r="F4" i="18"/>
  <c r="F3" i="18"/>
  <c r="F6" i="18"/>
  <c r="F7" i="18"/>
  <c r="F5" i="18"/>
  <c r="E3" i="18" l="1"/>
  <c r="G3" i="18"/>
  <c r="H3" i="18" l="1"/>
  <c r="P2" i="5" l="1"/>
  <c r="J2" i="5"/>
  <c r="W2" i="5" l="1"/>
  <c r="V2" i="5" l="1"/>
  <c r="X2" i="5" l="1"/>
  <c r="X5" i="5" s="1"/>
  <c r="P2" i="13"/>
  <c r="P5" i="13" s="1"/>
</calcChain>
</file>

<file path=xl/sharedStrings.xml><?xml version="1.0" encoding="utf-8"?>
<sst xmlns="http://schemas.openxmlformats.org/spreadsheetml/2006/main" count="250" uniqueCount="132">
  <si>
    <t>序号</t>
    <phoneticPr fontId="1" type="noConversion"/>
  </si>
  <si>
    <t>装置/单元名称</t>
    <phoneticPr fontId="1" type="noConversion"/>
  </si>
  <si>
    <t>内构件所占的体积分数</t>
    <phoneticPr fontId="1" type="noConversion"/>
  </si>
  <si>
    <t>泄压、吹扫序号</t>
    <phoneticPr fontId="1" type="noConversion"/>
  </si>
  <si>
    <t>液体薄层的体积分数</t>
    <phoneticPr fontId="1" type="noConversion"/>
  </si>
  <si>
    <t>初期泄压、吹扫进入火炬的质量分数</t>
    <phoneticPr fontId="1" type="noConversion"/>
  </si>
  <si>
    <t>反应器</t>
    <phoneticPr fontId="1" type="noConversion"/>
  </si>
  <si>
    <t>火炬的燃烧效率</t>
    <phoneticPr fontId="1" type="noConversion"/>
  </si>
  <si>
    <t>VOC</t>
    <phoneticPr fontId="1" type="noConversion"/>
  </si>
  <si>
    <t>设备内部结构</t>
    <phoneticPr fontId="1" type="noConversion"/>
  </si>
  <si>
    <t>某装置</t>
    <phoneticPr fontId="1" type="noConversion"/>
  </si>
  <si>
    <r>
      <t>设备容积（m</t>
    </r>
    <r>
      <rPr>
        <vertAlign val="superscript"/>
        <sz val="11"/>
        <color theme="1"/>
        <rFont val="宋体"/>
        <family val="3"/>
        <charset val="134"/>
        <scheme val="minor"/>
      </rPr>
      <t>3</t>
    </r>
    <r>
      <rPr>
        <sz val="11"/>
        <color theme="1"/>
        <rFont val="宋体"/>
        <family val="3"/>
        <charset val="134"/>
        <scheme val="minor"/>
      </rPr>
      <t>）</t>
    </r>
    <phoneticPr fontId="1" type="noConversion"/>
  </si>
  <si>
    <t>通过火炬燃烧VOC排放量（t/a）</t>
    <phoneticPr fontId="1" type="noConversion"/>
  </si>
  <si>
    <t>直排大气VOC排放量（t/a）</t>
    <phoneticPr fontId="1" type="noConversion"/>
  </si>
  <si>
    <t>VOC排放量（t/a）</t>
    <phoneticPr fontId="1" type="noConversion"/>
  </si>
  <si>
    <r>
      <t>液体的密度（kg/m</t>
    </r>
    <r>
      <rPr>
        <vertAlign val="superscript"/>
        <sz val="11"/>
        <color theme="1"/>
        <rFont val="宋体"/>
        <family val="3"/>
        <charset val="134"/>
        <scheme val="minor"/>
      </rPr>
      <t>3</t>
    </r>
    <r>
      <rPr>
        <sz val="11"/>
        <color theme="1"/>
        <rFont val="宋体"/>
        <family val="3"/>
        <charset val="134"/>
        <scheme val="minor"/>
      </rPr>
      <t>）</t>
    </r>
    <phoneticPr fontId="1" type="noConversion"/>
  </si>
  <si>
    <t>填料</t>
  </si>
  <si>
    <t>第1次</t>
  </si>
  <si>
    <t>填料</t>
    <phoneticPr fontId="1" type="noConversion"/>
  </si>
  <si>
    <t>塔板</t>
    <phoneticPr fontId="1" type="noConversion"/>
  </si>
  <si>
    <t>设备内部构件</t>
    <phoneticPr fontId="1" type="noConversion"/>
  </si>
  <si>
    <t>内构件所占体积分数</t>
    <phoneticPr fontId="1" type="noConversion"/>
  </si>
  <si>
    <t>排火炬时容器温度（℃）</t>
    <phoneticPr fontId="1" type="noConversion"/>
  </si>
  <si>
    <t>排火炬时VOC体积分数(%v)</t>
    <phoneticPr fontId="1" type="noConversion"/>
  </si>
  <si>
    <t>排火炬时VOC平均分子量</t>
    <phoneticPr fontId="1" type="noConversion"/>
  </si>
  <si>
    <t>排大气时容器的温度（℃）</t>
    <phoneticPr fontId="1" type="noConversion"/>
  </si>
  <si>
    <t>排大气时气体组成</t>
    <phoneticPr fontId="1" type="noConversion"/>
  </si>
  <si>
    <t>排大气时VOC平均分子量</t>
    <phoneticPr fontId="1" type="noConversion"/>
  </si>
  <si>
    <t>排大气时容器的压力（kPa，绝）</t>
    <phoneticPr fontId="1" type="noConversion"/>
  </si>
  <si>
    <t>排大气时容器的压力（kPa，表）</t>
    <phoneticPr fontId="1" type="noConversion"/>
  </si>
  <si>
    <t>排火炬时容器压力（kPa，表）</t>
    <phoneticPr fontId="1" type="noConversion"/>
  </si>
  <si>
    <t>排火炬时容器的压力（kPa，绝）</t>
    <phoneticPr fontId="1" type="noConversion"/>
  </si>
  <si>
    <t>液体薄层的体积分数</t>
    <phoneticPr fontId="1" type="noConversion"/>
  </si>
  <si>
    <t>介质</t>
    <phoneticPr fontId="1" type="noConversion"/>
  </si>
  <si>
    <t>塔板</t>
    <phoneticPr fontId="1" type="noConversion"/>
  </si>
  <si>
    <t>轻</t>
  </si>
  <si>
    <t>丁烷</t>
    <phoneticPr fontId="1" type="noConversion"/>
  </si>
  <si>
    <t>丁烯</t>
    <phoneticPr fontId="1" type="noConversion"/>
  </si>
  <si>
    <t>氮气</t>
    <phoneticPr fontId="1" type="noConversion"/>
  </si>
  <si>
    <t>加工介质的黏附性</t>
    <phoneticPr fontId="1" type="noConversion"/>
  </si>
  <si>
    <t>重</t>
    <phoneticPr fontId="1" type="noConversion"/>
  </si>
  <si>
    <t>轻</t>
    <phoneticPr fontId="1" type="noConversion"/>
  </si>
  <si>
    <t>液体物料的组成（%w）</t>
    <phoneticPr fontId="1" type="noConversion"/>
  </si>
  <si>
    <t>乙烷15%、苯15%、甲苯30%、二甲苯30%、其它VOC10%</t>
  </si>
  <si>
    <t>VOC质量分数（%w）</t>
    <phoneticPr fontId="1" type="noConversion"/>
  </si>
  <si>
    <t>分子量/mol</t>
    <phoneticPr fontId="1" type="noConversion"/>
  </si>
  <si>
    <t>V0C体积分数</t>
    <phoneticPr fontId="1" type="noConversion"/>
  </si>
  <si>
    <t>各物质的质量</t>
    <phoneticPr fontId="1" type="noConversion"/>
  </si>
  <si>
    <t>物质</t>
    <phoneticPr fontId="1" type="noConversion"/>
  </si>
  <si>
    <t>分子量</t>
    <phoneticPr fontId="1" type="noConversion"/>
  </si>
  <si>
    <t>C</t>
    <phoneticPr fontId="1" type="noConversion"/>
  </si>
  <si>
    <t>H</t>
    <phoneticPr fontId="1" type="noConversion"/>
  </si>
  <si>
    <t>O</t>
    <phoneticPr fontId="1" type="noConversion"/>
  </si>
  <si>
    <t>N</t>
    <phoneticPr fontId="1" type="noConversion"/>
  </si>
  <si>
    <t>CL</t>
    <phoneticPr fontId="1" type="noConversion"/>
  </si>
  <si>
    <t>S</t>
    <phoneticPr fontId="1" type="noConversion"/>
  </si>
  <si>
    <t>VOC识别</t>
    <phoneticPr fontId="1" type="noConversion"/>
  </si>
  <si>
    <t>甲烷</t>
    <phoneticPr fontId="1" type="noConversion"/>
  </si>
  <si>
    <t>VOC</t>
    <phoneticPr fontId="1" type="noConversion"/>
  </si>
  <si>
    <t>乙烷</t>
    <phoneticPr fontId="1" type="noConversion"/>
  </si>
  <si>
    <t>乙烯</t>
    <phoneticPr fontId="1" type="noConversion"/>
  </si>
  <si>
    <t>丙烷</t>
    <phoneticPr fontId="1" type="noConversion"/>
  </si>
  <si>
    <t>丙烯</t>
    <phoneticPr fontId="1" type="noConversion"/>
  </si>
  <si>
    <t>丁二烯</t>
    <phoneticPr fontId="1" type="noConversion"/>
  </si>
  <si>
    <t>戊烷</t>
    <phoneticPr fontId="1" type="noConversion"/>
  </si>
  <si>
    <t>戊烯</t>
    <phoneticPr fontId="1" type="noConversion"/>
  </si>
  <si>
    <t>戊二烯</t>
    <phoneticPr fontId="1" type="noConversion"/>
  </si>
  <si>
    <t>苯</t>
    <phoneticPr fontId="1" type="noConversion"/>
  </si>
  <si>
    <t>甲苯</t>
    <phoneticPr fontId="1" type="noConversion"/>
  </si>
  <si>
    <t>二甲苯</t>
    <phoneticPr fontId="1" type="noConversion"/>
  </si>
  <si>
    <t>乙苯</t>
    <phoneticPr fontId="1" type="noConversion"/>
  </si>
  <si>
    <t>甲醇</t>
    <phoneticPr fontId="1" type="noConversion"/>
  </si>
  <si>
    <t>乙醇</t>
    <phoneticPr fontId="1" type="noConversion"/>
  </si>
  <si>
    <t>甲醛</t>
    <phoneticPr fontId="1" type="noConversion"/>
  </si>
  <si>
    <t>乙醛</t>
    <phoneticPr fontId="1" type="noConversion"/>
  </si>
  <si>
    <t>甲酸甲酯</t>
    <phoneticPr fontId="1" type="noConversion"/>
  </si>
  <si>
    <t>乙酸乙酯</t>
    <phoneticPr fontId="1" type="noConversion"/>
  </si>
  <si>
    <t>氯甲烷</t>
    <phoneticPr fontId="1" type="noConversion"/>
  </si>
  <si>
    <t>氯乙烷</t>
    <phoneticPr fontId="1" type="noConversion"/>
  </si>
  <si>
    <t>氯丙烷</t>
    <phoneticPr fontId="1" type="noConversion"/>
  </si>
  <si>
    <t>氯乙烯</t>
    <phoneticPr fontId="1" type="noConversion"/>
  </si>
  <si>
    <t>苯乙烯</t>
    <phoneticPr fontId="1" type="noConversion"/>
  </si>
  <si>
    <t>丙烯腈</t>
    <phoneticPr fontId="1" type="noConversion"/>
  </si>
  <si>
    <t>乙酸</t>
    <phoneticPr fontId="1" type="noConversion"/>
  </si>
  <si>
    <t>MTBE</t>
    <phoneticPr fontId="1" type="noConversion"/>
  </si>
  <si>
    <t>氰化氢</t>
    <phoneticPr fontId="1" type="noConversion"/>
  </si>
  <si>
    <t>氢气</t>
    <phoneticPr fontId="1" type="noConversion"/>
  </si>
  <si>
    <t>非V0C</t>
    <phoneticPr fontId="1" type="noConversion"/>
  </si>
  <si>
    <t>硫化氢</t>
    <phoneticPr fontId="1" type="noConversion"/>
  </si>
  <si>
    <t>一氧化碳</t>
    <phoneticPr fontId="1" type="noConversion"/>
  </si>
  <si>
    <t>非V0C</t>
  </si>
  <si>
    <t>二氧化碳</t>
    <phoneticPr fontId="1" type="noConversion"/>
  </si>
  <si>
    <t>氧气</t>
    <phoneticPr fontId="1" type="noConversion"/>
  </si>
  <si>
    <t>V0C质量分数</t>
    <phoneticPr fontId="1" type="noConversion"/>
  </si>
  <si>
    <t>汇总</t>
    <phoneticPr fontId="1" type="noConversion"/>
  </si>
  <si>
    <t>己烷</t>
    <phoneticPr fontId="1" type="noConversion"/>
  </si>
  <si>
    <t>排大气时VOC体积分数(%v)</t>
    <phoneticPr fontId="1" type="noConversion"/>
  </si>
  <si>
    <t>己烯</t>
    <phoneticPr fontId="1" type="noConversion"/>
  </si>
  <si>
    <t>汇总</t>
    <phoneticPr fontId="1" type="noConversion"/>
  </si>
  <si>
    <t>VOC排放量1（t/a）</t>
    <phoneticPr fontId="1" type="noConversion"/>
  </si>
  <si>
    <t>VOCs排放量2（t/a）</t>
    <phoneticPr fontId="1" type="noConversion"/>
  </si>
  <si>
    <t>VOCs排放量（t/a）</t>
    <phoneticPr fontId="1" type="noConversion"/>
  </si>
  <si>
    <t>液体物料的组成</t>
    <phoneticPr fontId="1" type="noConversion"/>
  </si>
  <si>
    <t>气体排火炬时体积组成</t>
    <phoneticPr fontId="1" type="noConversion"/>
  </si>
  <si>
    <t>气体排大气时体积组成</t>
    <phoneticPr fontId="1" type="noConversion"/>
  </si>
  <si>
    <t>排火炬时气体组成（%V）</t>
    <phoneticPr fontId="1" type="noConversion"/>
  </si>
  <si>
    <t>年排放次数(次/a)</t>
    <phoneticPr fontId="1" type="noConversion"/>
  </si>
  <si>
    <t>注1：当每次排放的情况相同时，可用每次计算的排放量乘以年排放次数进行开停工的年排放量计算；当每次排放的情况不同时，应单独计算每次排放量并进行加和计算开停工的年排放量。</t>
    <phoneticPr fontId="1" type="noConversion"/>
  </si>
  <si>
    <t>其它VOC</t>
    <phoneticPr fontId="1" type="noConversion"/>
  </si>
  <si>
    <t>排大气时气体组成</t>
    <phoneticPr fontId="1" type="noConversion"/>
  </si>
  <si>
    <t>体积分数（%）</t>
    <phoneticPr fontId="1" type="noConversion"/>
  </si>
  <si>
    <t>排火炬时气体组成</t>
    <phoneticPr fontId="1" type="noConversion"/>
  </si>
  <si>
    <t>己烷</t>
    <phoneticPr fontId="1" type="noConversion"/>
  </si>
  <si>
    <t>苯</t>
    <phoneticPr fontId="1" type="noConversion"/>
  </si>
  <si>
    <t>甲苯</t>
    <phoneticPr fontId="1" type="noConversion"/>
  </si>
  <si>
    <t>二甲苯</t>
    <phoneticPr fontId="1" type="noConversion"/>
  </si>
  <si>
    <t>其它VOC</t>
    <phoneticPr fontId="1" type="noConversion"/>
  </si>
  <si>
    <t>氮气</t>
    <phoneticPr fontId="1" type="noConversion"/>
  </si>
  <si>
    <t>各物质的质量</t>
    <phoneticPr fontId="1" type="noConversion"/>
  </si>
  <si>
    <t>VOC质量</t>
    <phoneticPr fontId="1" type="noConversion"/>
  </si>
  <si>
    <t>VOC分子量</t>
    <phoneticPr fontId="1" type="noConversion"/>
  </si>
  <si>
    <t>己烷0.5%、苯1.2%、甲苯1.4%、二甲苯0.8%、其它VOC 2.1%、氮气96%</t>
    <phoneticPr fontId="1" type="noConversion"/>
  </si>
  <si>
    <t>己烷15%、苯15%、甲苯30%、二甲苯30%、其它VOC 10%、氮气0%</t>
    <phoneticPr fontId="1" type="noConversion"/>
  </si>
  <si>
    <t>排放容器名称</t>
    <phoneticPr fontId="1" type="noConversion"/>
  </si>
  <si>
    <t>液体物料组成</t>
    <phoneticPr fontId="1" type="noConversion"/>
  </si>
  <si>
    <t>质量组成（%w）</t>
    <phoneticPr fontId="1" type="noConversion"/>
  </si>
  <si>
    <t>VOC</t>
    <phoneticPr fontId="1" type="noConversion"/>
  </si>
  <si>
    <t xml:space="preserve">开停工及检维修VOC排放计算程序使用说明：
    1.本计算程序根据《石化行业VOCs污染源排查工作指南》中附录五中的开停工及检维修排放数据表的相关内容进行编写，目的在于方便开停工及检维修过程VOCs排放量计算。
     2.企业需根据自身开停工及检维修情况、相关操作规程要求以及吹扫、清洗设备情况开展VOCs排放源的排查，根据加工容器内部介质的状态选取相应的计算方法，包括气体容器排放计算、液体容器排放计算和两相容器排放计算。
    3.每个计算方法中均包括必填项和选填项，必填项包括排放源的基本信息以及与计算结果直接相关的计算参数，填入相应计算参数后程序会自动计算出相应的排放量；除必填项以外的其它内容为选填项，企业根据自身情况尽量完善。
    4.每种计算方法对应一个数据表，打开数据表后会有一个数据表界面，数据表的表头列出了需要填写的各项内容，逐项点内容所在的单元格，会出现一个提示框，提示该内容是必填项还是选填项，以及与填写内容有关的注意事项或提示，企业需从序号1开始按照表头所列的各项内容填入相应的内容或数据。
    5.各数据表中给出了一个计算例子，由于后台链接有数据，可以更改、不能删除。输入多个排放源时必须在汇总行以上的区域内插入行，而且用整行复制到下一行的方法，复制后再更改数据。当单元格设置有选项时按实际情况选择填入。
    6.表中给出的计算例子，只做为说明表格的使用方法，不应做为追朔其真实性的依据。
    7.火炬的燃烧效率的取值与燃烧工况有关，具体的燃烧效率与运行工况的对应关系参见《石化行业VOCs污染源排查工作指南》附录五.3中核算方法。
     </t>
    <phoneticPr fontId="1" type="noConversion"/>
  </si>
  <si>
    <t>其它</t>
    <phoneticPr fontId="1" type="noConversion"/>
  </si>
  <si>
    <t>其它</t>
    <phoneticPr fontId="1" type="noConversion"/>
  </si>
  <si>
    <t>重</t>
    <phoneticPr fontId="1" type="noConversion"/>
  </si>
  <si>
    <t>轻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</si>
</sst>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76" formatCode="0.00_ "/>
    <numFmt numFmtId="177" formatCode="0.0000_ "/>
    <numFmt numFmtId="178" formatCode="0_ "/>
    <numFmt numFmtId="179" formatCode="0.000_);[Red]\(0.000\)"/>
  </numFmts>
  <fonts count="6" x14ac:knownFonts="1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vertAlign val="superscript"/>
      <sz val="11"/>
      <color theme="1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b/>
      <sz val="14"/>
      <color theme="1"/>
      <name val="宋体"/>
      <family val="3"/>
      <charset val="134"/>
      <scheme val="minor"/>
    </font>
  </fonts>
  <fills count="8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5" tint="0.59999389629810485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ck">
        <color auto="1"/>
      </top>
      <bottom style="thin">
        <color auto="1"/>
      </bottom>
      <diagonal/>
    </border>
    <border>
      <left/>
      <right/>
      <top style="thick">
        <color auto="1"/>
      </top>
      <bottom style="thin">
        <color auto="1"/>
      </bottom>
      <diagonal/>
    </border>
    <border>
      <left/>
      <right style="thin">
        <color auto="1"/>
      </right>
      <top style="thick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</borders>
  <cellStyleXfs count="1">
    <xf numFmtId="0" fontId="0" fillId="0" borderId="0">
      <alignment vertical="center"/>
    </xf>
  </cellStyleXfs>
  <cellXfs count="66">
    <xf numFmtId="0" fontId="0" fillId="0" borderId="0" xfId="0">
      <alignment vertical="center"/>
    </xf>
    <xf numFmtId="0" fontId="0" fillId="0" borderId="0" xfId="0" applyAlignment="1">
      <alignment vertical="center" wrapText="1"/>
    </xf>
    <xf numFmtId="10" fontId="0" fillId="0" borderId="1" xfId="0" applyNumberFormat="1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 wrapText="1"/>
    </xf>
    <xf numFmtId="0" fontId="4" fillId="0" borderId="0" xfId="0" applyFont="1">
      <alignment vertical="center"/>
    </xf>
    <xf numFmtId="0" fontId="0" fillId="0" borderId="0" xfId="0" applyProtection="1">
      <alignment vertical="center"/>
      <protection locked="0"/>
    </xf>
    <xf numFmtId="0" fontId="4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4" fillId="0" borderId="1" xfId="0" applyFont="1" applyBorder="1">
      <alignment vertical="center"/>
    </xf>
    <xf numFmtId="0" fontId="0" fillId="0" borderId="1" xfId="0" applyBorder="1">
      <alignment vertical="center"/>
    </xf>
    <xf numFmtId="9" fontId="0" fillId="0" borderId="1" xfId="0" applyNumberForma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NumberFormat="1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0" fontId="4" fillId="3" borderId="1" xfId="0" applyFont="1" applyFill="1" applyBorder="1" applyAlignment="1">
      <alignment vertical="center" wrapText="1"/>
    </xf>
    <xf numFmtId="0" fontId="4" fillId="6" borderId="1" xfId="0" applyFont="1" applyFill="1" applyBorder="1" applyAlignment="1">
      <alignment vertical="center" wrapText="1"/>
    </xf>
    <xf numFmtId="0" fontId="4" fillId="0" borderId="1" xfId="0" applyFont="1" applyFill="1" applyBorder="1" applyAlignment="1">
      <alignment horizontal="center" vertical="center" wrapText="1"/>
    </xf>
    <xf numFmtId="10" fontId="0" fillId="3" borderId="1" xfId="0" applyNumberFormat="1" applyFill="1" applyBorder="1" applyAlignment="1">
      <alignment horizontal="center" vertical="center"/>
    </xf>
    <xf numFmtId="178" fontId="0" fillId="3" borderId="1" xfId="0" applyNumberFormat="1" applyFill="1" applyBorder="1" applyAlignment="1">
      <alignment horizontal="center" vertical="center"/>
    </xf>
    <xf numFmtId="0" fontId="0" fillId="0" borderId="0" xfId="0" applyAlignment="1" applyProtection="1">
      <alignment horizontal="center" vertical="center" wrapText="1"/>
      <protection locked="0"/>
    </xf>
    <xf numFmtId="0" fontId="0" fillId="0" borderId="0" xfId="0" applyAlignment="1" applyProtection="1">
      <alignment vertical="center" wrapText="1"/>
      <protection locked="0"/>
    </xf>
    <xf numFmtId="0" fontId="0" fillId="5" borderId="1" xfId="0" applyFill="1" applyBorder="1" applyAlignment="1" applyProtection="1">
      <alignment horizontal="center" vertical="center" wrapText="1"/>
      <protection locked="0"/>
    </xf>
    <xf numFmtId="0" fontId="0" fillId="2" borderId="1" xfId="0" applyFill="1" applyBorder="1" applyAlignment="1" applyProtection="1">
      <alignment horizontal="center" vertical="center" wrapText="1"/>
      <protection locked="0"/>
    </xf>
    <xf numFmtId="0" fontId="0" fillId="0" borderId="0" xfId="0" applyFill="1" applyBorder="1" applyAlignment="1" applyProtection="1">
      <alignment horizontal="center" vertical="center" wrapText="1"/>
      <protection locked="0"/>
    </xf>
    <xf numFmtId="0" fontId="0" fillId="0" borderId="0" xfId="0" applyFill="1" applyAlignment="1" applyProtection="1">
      <alignment horizontal="center" vertical="center" wrapText="1"/>
      <protection locked="0"/>
    </xf>
    <xf numFmtId="0" fontId="0" fillId="4" borderId="1" xfId="0" applyFill="1" applyBorder="1" applyAlignment="1" applyProtection="1">
      <alignment horizontal="center" vertical="center" wrapText="1"/>
      <protection locked="0"/>
    </xf>
    <xf numFmtId="9" fontId="0" fillId="5" borderId="1" xfId="0" applyNumberFormat="1" applyFill="1" applyBorder="1" applyAlignment="1" applyProtection="1">
      <alignment horizontal="center" vertical="center" wrapText="1"/>
      <protection locked="0"/>
    </xf>
    <xf numFmtId="0" fontId="0" fillId="5" borderId="1" xfId="0" applyNumberFormat="1" applyFill="1" applyBorder="1" applyAlignment="1" applyProtection="1">
      <alignment horizontal="center" vertical="center" wrapText="1"/>
      <protection locked="0"/>
    </xf>
    <xf numFmtId="177" fontId="0" fillId="0" borderId="0" xfId="0" applyNumberFormat="1" applyBorder="1" applyAlignment="1" applyProtection="1">
      <alignment horizontal="center" vertical="center" wrapText="1"/>
      <protection locked="0"/>
    </xf>
    <xf numFmtId="0" fontId="0" fillId="0" borderId="0" xfId="0" applyBorder="1" applyAlignment="1" applyProtection="1">
      <alignment vertical="center" wrapText="1"/>
      <protection locked="0"/>
    </xf>
    <xf numFmtId="0" fontId="0" fillId="0" borderId="0" xfId="0" applyBorder="1" applyAlignment="1" applyProtection="1">
      <alignment horizontal="center" vertical="center" wrapText="1"/>
      <protection locked="0"/>
    </xf>
    <xf numFmtId="9" fontId="0" fillId="5" borderId="1" xfId="0" applyNumberFormat="1" applyFill="1" applyBorder="1" applyAlignment="1" applyProtection="1">
      <alignment horizontal="center" vertical="center" wrapText="1"/>
    </xf>
    <xf numFmtId="0" fontId="0" fillId="5" borderId="1" xfId="0" applyNumberFormat="1" applyFill="1" applyBorder="1" applyAlignment="1" applyProtection="1">
      <alignment horizontal="center" vertical="center" wrapText="1"/>
    </xf>
    <xf numFmtId="176" fontId="0" fillId="6" borderId="1" xfId="0" applyNumberFormat="1" applyFill="1" applyBorder="1" applyAlignment="1">
      <alignment horizontal="center" vertical="center"/>
    </xf>
    <xf numFmtId="176" fontId="0" fillId="5" borderId="1" xfId="0" applyNumberFormat="1" applyFill="1" applyBorder="1" applyAlignment="1" applyProtection="1">
      <alignment horizontal="center" vertical="center" wrapText="1"/>
      <protection locked="0"/>
    </xf>
    <xf numFmtId="10" fontId="0" fillId="5" borderId="1" xfId="0" applyNumberFormat="1" applyFill="1" applyBorder="1" applyAlignment="1" applyProtection="1">
      <alignment horizontal="center" vertical="center" wrapText="1"/>
      <protection locked="0"/>
    </xf>
    <xf numFmtId="0" fontId="0" fillId="4" borderId="4" xfId="0" applyFill="1" applyBorder="1" applyAlignment="1" applyProtection="1">
      <alignment horizontal="center" vertical="center" wrapText="1"/>
      <protection locked="0"/>
    </xf>
    <xf numFmtId="0" fontId="0" fillId="2" borderId="4" xfId="0" applyFill="1" applyBorder="1" applyAlignment="1" applyProtection="1">
      <alignment horizontal="center" vertical="center" wrapText="1"/>
      <protection locked="0"/>
    </xf>
    <xf numFmtId="0" fontId="0" fillId="5" borderId="4" xfId="0" applyFill="1" applyBorder="1" applyAlignment="1" applyProtection="1">
      <alignment horizontal="center" vertical="center" wrapText="1"/>
      <protection locked="0"/>
    </xf>
    <xf numFmtId="9" fontId="0" fillId="5" borderId="4" xfId="0" applyNumberFormat="1" applyFill="1" applyBorder="1" applyAlignment="1" applyProtection="1">
      <alignment horizontal="center" vertical="center" wrapText="1"/>
      <protection locked="0"/>
    </xf>
    <xf numFmtId="176" fontId="0" fillId="5" borderId="4" xfId="0" applyNumberFormat="1" applyFill="1" applyBorder="1" applyAlignment="1" applyProtection="1">
      <alignment horizontal="center" vertical="center" wrapText="1"/>
      <protection locked="0"/>
    </xf>
    <xf numFmtId="10" fontId="0" fillId="5" borderId="4" xfId="0" applyNumberFormat="1" applyFill="1" applyBorder="1" applyAlignment="1" applyProtection="1">
      <alignment horizontal="center" vertical="center" wrapText="1"/>
      <protection locked="0"/>
    </xf>
    <xf numFmtId="0" fontId="0" fillId="5" borderId="4" xfId="0" applyNumberFormat="1" applyFill="1" applyBorder="1" applyAlignment="1" applyProtection="1">
      <alignment horizontal="center" vertical="center" wrapText="1"/>
      <protection locked="0"/>
    </xf>
    <xf numFmtId="0" fontId="0" fillId="7" borderId="5" xfId="0" applyFill="1" applyBorder="1" applyAlignment="1" applyProtection="1">
      <alignment horizontal="center" vertical="center" wrapText="1"/>
      <protection locked="0"/>
    </xf>
    <xf numFmtId="0" fontId="0" fillId="7" borderId="6" xfId="0" applyFill="1" applyBorder="1" applyAlignment="1" applyProtection="1">
      <alignment horizontal="center" vertical="center" wrapText="1"/>
      <protection locked="0"/>
    </xf>
    <xf numFmtId="9" fontId="0" fillId="7" borderId="6" xfId="0" applyNumberFormat="1" applyFill="1" applyBorder="1" applyAlignment="1" applyProtection="1">
      <alignment horizontal="center" vertical="center" wrapText="1"/>
      <protection locked="0"/>
    </xf>
    <xf numFmtId="176" fontId="0" fillId="7" borderId="6" xfId="0" applyNumberFormat="1" applyFill="1" applyBorder="1" applyAlignment="1" applyProtection="1">
      <alignment horizontal="center" vertical="center" wrapText="1"/>
      <protection locked="0"/>
    </xf>
    <xf numFmtId="10" fontId="0" fillId="7" borderId="6" xfId="0" applyNumberFormat="1" applyFill="1" applyBorder="1" applyAlignment="1" applyProtection="1">
      <alignment horizontal="center" vertical="center" wrapText="1"/>
      <protection locked="0"/>
    </xf>
    <xf numFmtId="0" fontId="0" fillId="7" borderId="6" xfId="0" applyNumberFormat="1" applyFill="1" applyBorder="1" applyAlignment="1" applyProtection="1">
      <alignment horizontal="center" vertical="center" wrapText="1"/>
      <protection locked="0"/>
    </xf>
    <xf numFmtId="0" fontId="0" fillId="0" borderId="2" xfId="0" applyBorder="1" applyAlignment="1">
      <alignment horizontal="left" vertical="center"/>
    </xf>
    <xf numFmtId="0" fontId="5" fillId="0" borderId="0" xfId="0" applyFont="1" applyAlignment="1">
      <alignment horizontal="left" vertical="center"/>
    </xf>
    <xf numFmtId="0" fontId="4" fillId="0" borderId="1" xfId="0" applyFont="1" applyBorder="1" applyAlignment="1">
      <alignment horizontal="center" vertical="center" wrapText="1"/>
    </xf>
    <xf numFmtId="0" fontId="4" fillId="3" borderId="1" xfId="0" applyFont="1" applyFill="1" applyBorder="1" applyAlignment="1">
      <alignment horizontal="center" vertical="center" wrapText="1"/>
    </xf>
    <xf numFmtId="0" fontId="4" fillId="6" borderId="1" xfId="0" applyFont="1" applyFill="1" applyBorder="1" applyAlignment="1">
      <alignment horizontal="center" vertical="center" wrapText="1"/>
    </xf>
    <xf numFmtId="0" fontId="0" fillId="0" borderId="9" xfId="0" applyBorder="1" applyAlignment="1" applyProtection="1">
      <alignment horizontal="center" vertical="center" wrapText="1"/>
      <protection locked="0"/>
    </xf>
    <xf numFmtId="179" fontId="0" fillId="2" borderId="1" xfId="0" applyNumberFormat="1" applyFill="1" applyBorder="1" applyAlignment="1" applyProtection="1">
      <alignment horizontal="center" vertical="center" wrapText="1"/>
    </xf>
    <xf numFmtId="179" fontId="0" fillId="2" borderId="4" xfId="0" applyNumberFormat="1" applyFill="1" applyBorder="1" applyAlignment="1" applyProtection="1">
      <alignment horizontal="center" vertical="center" wrapText="1"/>
      <protection locked="0"/>
    </xf>
    <xf numFmtId="179" fontId="0" fillId="2" borderId="1" xfId="0" applyNumberFormat="1" applyFill="1" applyBorder="1" applyAlignment="1" applyProtection="1">
      <alignment horizontal="center" vertical="center" wrapText="1"/>
      <protection locked="0"/>
    </xf>
    <xf numFmtId="177" fontId="0" fillId="7" borderId="6" xfId="0" applyNumberFormat="1" applyFill="1" applyBorder="1" applyAlignment="1" applyProtection="1">
      <alignment horizontal="center" vertical="center" wrapText="1"/>
      <protection locked="0"/>
    </xf>
    <xf numFmtId="179" fontId="0" fillId="7" borderId="7" xfId="0" applyNumberFormat="1" applyFill="1" applyBorder="1" applyAlignment="1" applyProtection="1">
      <alignment horizontal="center" vertical="center" wrapText="1"/>
    </xf>
    <xf numFmtId="0" fontId="0" fillId="5" borderId="3" xfId="0" applyFill="1" applyBorder="1" applyAlignment="1" applyProtection="1">
      <alignment horizontal="center" vertical="center" wrapText="1"/>
      <protection locked="0"/>
    </xf>
    <xf numFmtId="0" fontId="0" fillId="0" borderId="8" xfId="0" applyBorder="1" applyAlignment="1" applyProtection="1">
      <alignment horizontal="left" vertical="center"/>
      <protection locked="0"/>
    </xf>
    <xf numFmtId="0" fontId="0" fillId="0" borderId="0" xfId="0" applyBorder="1" applyAlignment="1" applyProtection="1">
      <alignment horizontal="left" vertical="center"/>
      <protection locked="0"/>
    </xf>
    <xf numFmtId="0" fontId="0" fillId="0" borderId="0" xfId="0" applyAlignment="1" applyProtection="1">
      <alignment horizontal="left" vertical="center"/>
      <protection locked="0"/>
    </xf>
    <xf numFmtId="0" fontId="5" fillId="0" borderId="2" xfId="0" applyFont="1" applyBorder="1" applyAlignment="1">
      <alignment horizontal="left" vertical="center"/>
    </xf>
  </cellXfs>
  <cellStyles count="1">
    <cellStyle name="常规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zoomScale="80" zoomScaleNormal="80" workbookViewId="0"/>
  </sheetViews>
  <sheetFormatPr defaultRowHeight="14.4" x14ac:dyDescent="0.25"/>
  <cols>
    <col min="1" max="1" width="148.21875" customWidth="1"/>
  </cols>
  <sheetData>
    <row r="1" spans="1:1" ht="256.8" customHeight="1" x14ac:dyDescent="0.25">
      <c r="A1" s="1" t="s">
        <v>127</v>
      </c>
    </row>
  </sheetData>
  <phoneticPr fontId="1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A8"/>
  <sheetViews>
    <sheetView topLeftCell="F1" zoomScale="70" zoomScaleNormal="70" workbookViewId="0">
      <selection activeCell="O23" sqref="O23"/>
    </sheetView>
  </sheetViews>
  <sheetFormatPr defaultColWidth="8.88671875" defaultRowHeight="14.4" x14ac:dyDescent="0.25"/>
  <cols>
    <col min="1" max="1" width="5.77734375" style="20" customWidth="1"/>
    <col min="2" max="3" width="13.33203125" style="20" customWidth="1"/>
    <col min="4" max="4" width="10.21875" style="20" customWidth="1"/>
    <col min="5" max="5" width="9.77734375" style="20" customWidth="1"/>
    <col min="6" max="6" width="10.33203125" style="20" customWidth="1"/>
    <col min="7" max="7" width="11.33203125" style="20" customWidth="1"/>
    <col min="8" max="8" width="8.21875" style="20" customWidth="1"/>
    <col min="9" max="9" width="10.109375" style="20" customWidth="1"/>
    <col min="10" max="10" width="11.21875" style="20" hidden="1" customWidth="1"/>
    <col min="11" max="11" width="13.33203125" style="20" customWidth="1"/>
    <col min="12" max="12" width="11.6640625" style="20" customWidth="1"/>
    <col min="13" max="13" width="12.33203125" style="20" customWidth="1"/>
    <col min="14" max="14" width="11.21875" style="20" customWidth="1"/>
    <col min="15" max="15" width="12.5546875" style="20" customWidth="1"/>
    <col min="16" max="16" width="11.6640625" style="20" hidden="1" customWidth="1"/>
    <col min="17" max="17" width="12.33203125" style="20" customWidth="1"/>
    <col min="18" max="18" width="11" style="20" customWidth="1"/>
    <col min="19" max="19" width="11.44140625" style="20" customWidth="1"/>
    <col min="20" max="20" width="8.6640625" style="20" customWidth="1"/>
    <col min="21" max="21" width="10" style="20" customWidth="1"/>
    <col min="22" max="22" width="13.33203125" style="20" hidden="1" customWidth="1"/>
    <col min="23" max="23" width="13.21875" style="20" hidden="1" customWidth="1"/>
    <col min="24" max="24" width="12.5546875" style="20" customWidth="1"/>
    <col min="25" max="16384" width="8.88671875" style="20"/>
  </cols>
  <sheetData>
    <row r="1" spans="1:27" s="25" customFormat="1" ht="61.8" customHeight="1" x14ac:dyDescent="0.25">
      <c r="A1" s="37" t="s">
        <v>0</v>
      </c>
      <c r="B1" s="38" t="s">
        <v>1</v>
      </c>
      <c r="C1" s="23" t="s">
        <v>123</v>
      </c>
      <c r="D1" s="23" t="s">
        <v>9</v>
      </c>
      <c r="E1" s="23" t="s">
        <v>3</v>
      </c>
      <c r="F1" s="22" t="s">
        <v>11</v>
      </c>
      <c r="G1" s="22" t="s">
        <v>2</v>
      </c>
      <c r="H1" s="22" t="s">
        <v>22</v>
      </c>
      <c r="I1" s="22" t="s">
        <v>30</v>
      </c>
      <c r="J1" s="22" t="s">
        <v>31</v>
      </c>
      <c r="K1" s="22" t="s">
        <v>105</v>
      </c>
      <c r="L1" s="22" t="s">
        <v>24</v>
      </c>
      <c r="M1" s="22" t="s">
        <v>23</v>
      </c>
      <c r="N1" s="22" t="s">
        <v>25</v>
      </c>
      <c r="O1" s="22" t="s">
        <v>29</v>
      </c>
      <c r="P1" s="22" t="s">
        <v>28</v>
      </c>
      <c r="Q1" s="22" t="s">
        <v>26</v>
      </c>
      <c r="R1" s="22" t="s">
        <v>27</v>
      </c>
      <c r="S1" s="22" t="s">
        <v>96</v>
      </c>
      <c r="T1" s="22" t="s">
        <v>7</v>
      </c>
      <c r="U1" s="39" t="s">
        <v>106</v>
      </c>
      <c r="V1" s="23" t="s">
        <v>12</v>
      </c>
      <c r="W1" s="23" t="s">
        <v>13</v>
      </c>
      <c r="X1" s="38" t="s">
        <v>14</v>
      </c>
    </row>
    <row r="2" spans="1:27" ht="71.400000000000006" customHeight="1" x14ac:dyDescent="0.25">
      <c r="A2" s="26">
        <v>1</v>
      </c>
      <c r="B2" s="23" t="s">
        <v>10</v>
      </c>
      <c r="C2" s="23" t="s">
        <v>6</v>
      </c>
      <c r="D2" s="23" t="s">
        <v>16</v>
      </c>
      <c r="E2" s="23" t="s">
        <v>17</v>
      </c>
      <c r="F2" s="22">
        <v>566</v>
      </c>
      <c r="G2" s="32">
        <f>VLOOKUP(D2,相关系数取值!A2:B4,2,0)</f>
        <v>0.4</v>
      </c>
      <c r="H2" s="22">
        <v>400</v>
      </c>
      <c r="I2" s="22">
        <v>80</v>
      </c>
      <c r="J2" s="22">
        <f>I2+101.325</f>
        <v>181.32499999999999</v>
      </c>
      <c r="K2" s="22" t="s">
        <v>122</v>
      </c>
      <c r="L2" s="35">
        <v>93</v>
      </c>
      <c r="M2" s="36">
        <v>1</v>
      </c>
      <c r="N2" s="22">
        <v>250</v>
      </c>
      <c r="O2" s="22">
        <v>68.929000000000002</v>
      </c>
      <c r="P2" s="22">
        <f>O2+101.325</f>
        <v>170.25400000000002</v>
      </c>
      <c r="Q2" s="22" t="s">
        <v>121</v>
      </c>
      <c r="R2" s="28">
        <v>90</v>
      </c>
      <c r="S2" s="36">
        <v>0.06</v>
      </c>
      <c r="T2" s="27">
        <v>0.98</v>
      </c>
      <c r="U2" s="28">
        <v>2</v>
      </c>
      <c r="V2" s="23">
        <f>(J2/101.325)*(273.15/(273.15+H2))*F2*(1-G2)*M2*(L2/22.4)*10^-3*(1-T2)*U2</f>
        <v>4.0953689339961866E-2</v>
      </c>
      <c r="W2" s="23">
        <f>(P2/101.325)*(273.15/(273.15+N2))*F2*(1-G2)*S2*(R2/22.4)*10^-3*U2</f>
        <v>0.14364784187542398</v>
      </c>
      <c r="X2" s="56">
        <f>V2+W2</f>
        <v>0.18460153121538586</v>
      </c>
    </row>
    <row r="3" spans="1:27" ht="27" customHeight="1" x14ac:dyDescent="0.25">
      <c r="A3" s="26">
        <v>2</v>
      </c>
      <c r="B3" s="23"/>
      <c r="C3" s="23"/>
      <c r="D3" s="23"/>
      <c r="E3" s="23"/>
      <c r="F3" s="22"/>
      <c r="G3" s="27"/>
      <c r="H3" s="22"/>
      <c r="I3" s="22"/>
      <c r="J3" s="22"/>
      <c r="K3" s="22"/>
      <c r="L3" s="35"/>
      <c r="M3" s="36"/>
      <c r="N3" s="22"/>
      <c r="O3" s="22"/>
      <c r="P3" s="22"/>
      <c r="Q3" s="22"/>
      <c r="R3" s="28"/>
      <c r="S3" s="36"/>
      <c r="T3" s="27"/>
      <c r="U3" s="28"/>
      <c r="V3" s="23"/>
      <c r="W3" s="23"/>
      <c r="X3" s="58"/>
    </row>
    <row r="4" spans="1:27" ht="26.4" customHeight="1" thickBot="1" x14ac:dyDescent="0.3">
      <c r="A4" s="37">
        <v>3</v>
      </c>
      <c r="B4" s="38"/>
      <c r="C4" s="38"/>
      <c r="D4" s="38"/>
      <c r="E4" s="38"/>
      <c r="F4" s="39"/>
      <c r="G4" s="27"/>
      <c r="H4" s="39"/>
      <c r="I4" s="39"/>
      <c r="J4" s="39"/>
      <c r="K4" s="39"/>
      <c r="L4" s="41"/>
      <c r="M4" s="42"/>
      <c r="N4" s="39"/>
      <c r="O4" s="39"/>
      <c r="P4" s="39"/>
      <c r="Q4" s="39"/>
      <c r="R4" s="43"/>
      <c r="S4" s="42"/>
      <c r="T4" s="27"/>
      <c r="U4" s="43"/>
      <c r="V4" s="38"/>
      <c r="W4" s="38"/>
      <c r="X4" s="57"/>
    </row>
    <row r="5" spans="1:27" ht="15" thickTop="1" x14ac:dyDescent="0.25">
      <c r="A5" s="44" t="s">
        <v>98</v>
      </c>
      <c r="B5" s="45"/>
      <c r="C5" s="45"/>
      <c r="D5" s="45"/>
      <c r="E5" s="45"/>
      <c r="F5" s="45"/>
      <c r="G5" s="46"/>
      <c r="H5" s="45"/>
      <c r="I5" s="45"/>
      <c r="J5" s="45"/>
      <c r="K5" s="45"/>
      <c r="L5" s="47"/>
      <c r="M5" s="48"/>
      <c r="N5" s="45"/>
      <c r="O5" s="45"/>
      <c r="P5" s="45"/>
      <c r="Q5" s="45"/>
      <c r="R5" s="47"/>
      <c r="S5" s="48"/>
      <c r="T5" s="46"/>
      <c r="U5" s="49"/>
      <c r="V5" s="45"/>
      <c r="W5" s="45"/>
      <c r="X5" s="60">
        <f>SUM(X2:X4)</f>
        <v>0.18460153121538586</v>
      </c>
      <c r="Y5" s="55"/>
      <c r="Z5" s="31"/>
      <c r="AA5" s="31"/>
    </row>
    <row r="6" spans="1:27" s="31" customFormat="1" ht="14.4" customHeight="1" x14ac:dyDescent="0.25">
      <c r="A6" s="62" t="s">
        <v>107</v>
      </c>
      <c r="B6" s="62"/>
      <c r="C6" s="62"/>
      <c r="D6" s="62"/>
      <c r="E6" s="62"/>
      <c r="F6" s="62"/>
      <c r="G6" s="62"/>
      <c r="H6" s="62"/>
      <c r="I6" s="62"/>
      <c r="J6" s="62"/>
      <c r="K6" s="62"/>
      <c r="L6" s="62"/>
      <c r="M6" s="62"/>
      <c r="N6" s="62"/>
      <c r="O6" s="62"/>
      <c r="P6" s="62"/>
      <c r="Q6" s="62"/>
      <c r="R6" s="62"/>
      <c r="S6" s="62"/>
      <c r="T6" s="62"/>
      <c r="U6" s="62"/>
      <c r="V6" s="62"/>
      <c r="W6" s="62"/>
      <c r="X6" s="62"/>
      <c r="Y6" s="63"/>
      <c r="Z6" s="63"/>
      <c r="AA6" s="63"/>
    </row>
    <row r="7" spans="1:27" s="31" customFormat="1" ht="14.4" customHeight="1" x14ac:dyDescent="0.25">
      <c r="A7" s="63"/>
      <c r="B7" s="63"/>
      <c r="C7" s="63"/>
      <c r="D7" s="63"/>
      <c r="E7" s="63"/>
      <c r="F7" s="63"/>
      <c r="G7" s="63"/>
      <c r="H7" s="63"/>
      <c r="I7" s="63"/>
      <c r="J7" s="63"/>
      <c r="K7" s="63"/>
      <c r="L7" s="63"/>
      <c r="M7" s="63"/>
      <c r="N7" s="63"/>
      <c r="O7" s="63"/>
      <c r="P7" s="63"/>
      <c r="Q7" s="63"/>
      <c r="R7" s="63"/>
      <c r="S7" s="63"/>
      <c r="T7" s="63"/>
      <c r="U7" s="63"/>
      <c r="V7" s="63"/>
      <c r="W7" s="63"/>
      <c r="X7" s="63"/>
      <c r="Y7" s="63"/>
      <c r="Z7" s="63"/>
      <c r="AA7" s="63"/>
    </row>
    <row r="8" spans="1:27" x14ac:dyDescent="0.25">
      <c r="A8" s="64"/>
      <c r="B8" s="64"/>
      <c r="C8" s="64"/>
      <c r="D8" s="64"/>
      <c r="E8" s="64"/>
      <c r="F8" s="64"/>
      <c r="G8" s="64"/>
      <c r="H8" s="64"/>
      <c r="I8" s="64"/>
      <c r="J8" s="64"/>
      <c r="K8" s="64"/>
      <c r="L8" s="64"/>
      <c r="M8" s="64"/>
      <c r="N8" s="64"/>
      <c r="O8" s="64"/>
      <c r="P8" s="64"/>
      <c r="Q8" s="64"/>
      <c r="R8" s="64"/>
      <c r="S8" s="64"/>
      <c r="T8" s="64"/>
      <c r="U8" s="64"/>
      <c r="V8" s="64"/>
      <c r="W8" s="64"/>
      <c r="X8" s="64"/>
      <c r="Y8" s="64"/>
      <c r="Z8" s="64"/>
      <c r="AA8" s="64"/>
    </row>
  </sheetData>
  <sheetProtection password="FADC" sheet="1" objects="1" scenarios="1" formatCells="0" formatColumns="0" formatRows="0" insertColumns="0" insertRows="0" insertHyperlinks="0" deleteColumns="0" deleteRows="0"/>
  <dataConsolidate/>
  <mergeCells count="3">
    <mergeCell ref="A6:AA6"/>
    <mergeCell ref="A7:AA7"/>
    <mergeCell ref="A8:AA8"/>
  </mergeCells>
  <phoneticPr fontId="1" type="noConversion"/>
  <dataValidations count="14">
    <dataValidation allowBlank="1" showInputMessage="1" showErrorMessage="1" prompt="为计算参数，排火炬时必填项，不排火炬时可不填" sqref="I1:M1"/>
    <dataValidation type="list" allowBlank="1" showInputMessage="1" showErrorMessage="1" sqref="E2:E5">
      <formula1>"第1次,第2次,第3次,第4次,第5次,第6次,第7次,第8次,第9次,第10次"</formula1>
    </dataValidation>
    <dataValidation type="list" allowBlank="1" showInputMessage="1" showErrorMessage="1" sqref="D3:D5">
      <formula1>"填料,塔板"</formula1>
    </dataValidation>
    <dataValidation allowBlank="1" showInputMessage="1" showErrorMessage="1" prompt="单独计算每次火炬的排放量时必填项，为排放源的基本信息" sqref="E1"/>
    <dataValidation allowBlank="1" showInputMessage="1" showErrorMessage="1" prompt="必填项，为排放源的基础信息" sqref="B1:D1"/>
    <dataValidation allowBlank="1" showInputMessage="1" showErrorMessage="1" prompt="必填项，为计算参数" sqref="F1:G1 N1:S1"/>
    <dataValidation allowBlank="1" showInputMessage="1" showErrorMessage="1" prompt="程序自动输入数据，当输入其它源时可拷贝至同列其它单元格" sqref="G2:G4"/>
    <dataValidation allowBlank="1" showInputMessage="1" showErrorMessage="1" prompt="为计算参数，排火炬时必填项，不排火炬时可不填" sqref="H1"/>
    <dataValidation allowBlank="1" showInputMessage="1" showErrorMessage="1" prompt="VOCs排放量中包含计算公式，不能删除；当排放源的数据填写完整后将其拷贝至同一列的相应位置即可" sqref="X1"/>
    <dataValidation allowBlank="1" showInputMessage="1" showErrorMessage="1" prompt="必填项，与计算有关的参数。当火炬每次排放情况不同、单独计算每次的排放量时，填1" sqref="U1"/>
    <dataValidation type="list" allowBlank="1" showInputMessage="1" showErrorMessage="1" sqref="T2:T4">
      <formula1>"98%,93%,80%,0%"</formula1>
    </dataValidation>
    <dataValidation allowBlank="1" showInputMessage="1" showErrorMessage="1" prompt="排火炬时必填项，为计算参数" sqref="T1"/>
    <dataValidation allowBlank="1" showInputMessage="1" showErrorMessage="1" prompt="包含计算公式，计算时拷贝至所需单元格" sqref="X2"/>
    <dataValidation type="list" allowBlank="1" showInputMessage="1" showErrorMessage="1" sqref="D2">
      <formula1>"填料,塔板,其它"</formula1>
    </dataValidation>
  </dataValidation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A8"/>
  <sheetViews>
    <sheetView zoomScale="70" zoomScaleNormal="70" workbookViewId="0">
      <selection activeCell="D2" sqref="D2"/>
    </sheetView>
  </sheetViews>
  <sheetFormatPr defaultColWidth="8.88671875" defaultRowHeight="14.4" x14ac:dyDescent="0.25"/>
  <cols>
    <col min="1" max="1" width="5.77734375" style="21" customWidth="1"/>
    <col min="2" max="2" width="13.33203125" style="21" customWidth="1"/>
    <col min="3" max="3" width="10.5546875" style="21" customWidth="1"/>
    <col min="4" max="4" width="10.77734375" style="21" customWidth="1"/>
    <col min="5" max="5" width="10.88671875" style="21" customWidth="1"/>
    <col min="6" max="6" width="10.6640625" style="21" customWidth="1"/>
    <col min="7" max="9" width="11.44140625" style="21" customWidth="1"/>
    <col min="10" max="10" width="11.88671875" style="21" customWidth="1"/>
    <col min="11" max="11" width="20" style="21" customWidth="1"/>
    <col min="12" max="12" width="13.77734375" style="21" customWidth="1"/>
    <col min="13" max="13" width="16.33203125" style="21" customWidth="1"/>
    <col min="14" max="14" width="16.44140625" style="21" customWidth="1"/>
    <col min="15" max="16" width="12.44140625" style="21" customWidth="1"/>
    <col min="17" max="17" width="12.33203125" style="21" customWidth="1"/>
    <col min="18" max="18" width="12" style="21" customWidth="1"/>
    <col min="19" max="20" width="8.88671875" style="21"/>
    <col min="21" max="21" width="0" style="21" hidden="1" customWidth="1"/>
    <col min="22" max="16384" width="8.88671875" style="21"/>
  </cols>
  <sheetData>
    <row r="1" spans="1:27" ht="54" customHeight="1" x14ac:dyDescent="0.25">
      <c r="A1" s="37" t="s">
        <v>0</v>
      </c>
      <c r="B1" s="38" t="s">
        <v>1</v>
      </c>
      <c r="C1" s="23" t="s">
        <v>123</v>
      </c>
      <c r="D1" s="23" t="s">
        <v>9</v>
      </c>
      <c r="E1" s="23" t="s">
        <v>3</v>
      </c>
      <c r="F1" s="22" t="s">
        <v>11</v>
      </c>
      <c r="G1" s="22" t="s">
        <v>2</v>
      </c>
      <c r="H1" s="39" t="s">
        <v>39</v>
      </c>
      <c r="I1" s="39" t="s">
        <v>4</v>
      </c>
      <c r="J1" s="39" t="s">
        <v>15</v>
      </c>
      <c r="K1" s="61" t="s">
        <v>42</v>
      </c>
      <c r="L1" s="22" t="s">
        <v>44</v>
      </c>
      <c r="M1" s="39" t="s">
        <v>5</v>
      </c>
      <c r="N1" s="22" t="s">
        <v>7</v>
      </c>
      <c r="O1" s="39" t="s">
        <v>106</v>
      </c>
      <c r="P1" s="38" t="s">
        <v>14</v>
      </c>
      <c r="Q1" s="24"/>
      <c r="R1" s="24"/>
      <c r="S1" s="24"/>
      <c r="T1" s="25"/>
    </row>
    <row r="2" spans="1:27" ht="49.8" customHeight="1" x14ac:dyDescent="0.25">
      <c r="A2" s="26">
        <v>1</v>
      </c>
      <c r="B2" s="23" t="s">
        <v>10</v>
      </c>
      <c r="C2" s="23" t="s">
        <v>6</v>
      </c>
      <c r="D2" s="23" t="s">
        <v>16</v>
      </c>
      <c r="E2" s="23" t="s">
        <v>17</v>
      </c>
      <c r="F2" s="22">
        <v>566</v>
      </c>
      <c r="G2" s="32">
        <f>VLOOKUP(D2,相关系数取值!A2:B4,2,0)</f>
        <v>0.4</v>
      </c>
      <c r="H2" s="27" t="s">
        <v>35</v>
      </c>
      <c r="I2" s="33">
        <f t="array" ref="I2">VLOOKUP(D2&amp;H2,IF({1,0},相关系数取值!A9:A14&amp;相关系数取值!B9:B14,相关系数取值!C9:C14),2,0)</f>
        <v>5.0000000000000001E-3</v>
      </c>
      <c r="J2" s="22">
        <v>800</v>
      </c>
      <c r="K2" s="22" t="s">
        <v>43</v>
      </c>
      <c r="L2" s="27">
        <v>1</v>
      </c>
      <c r="M2" s="27">
        <v>0.9</v>
      </c>
      <c r="N2" s="27">
        <v>0.98</v>
      </c>
      <c r="O2" s="28">
        <v>1</v>
      </c>
      <c r="P2" s="56">
        <f>F2*(1-G2)*I2*J2*L2*10^-3*(1-M2*N2)*O2</f>
        <v>0.16029119999999997</v>
      </c>
      <c r="Q2" s="29"/>
      <c r="R2" s="29"/>
      <c r="S2" s="30"/>
    </row>
    <row r="3" spans="1:27" ht="38.4" customHeight="1" x14ac:dyDescent="0.25">
      <c r="A3" s="26">
        <v>2</v>
      </c>
      <c r="B3" s="23"/>
      <c r="C3" s="23"/>
      <c r="D3" s="23"/>
      <c r="E3" s="23"/>
      <c r="F3" s="22"/>
      <c r="G3" s="27"/>
      <c r="H3" s="27"/>
      <c r="I3" s="28"/>
      <c r="J3" s="22"/>
      <c r="K3" s="22"/>
      <c r="L3" s="27"/>
      <c r="M3" s="27"/>
      <c r="N3" s="27"/>
      <c r="O3" s="28"/>
      <c r="P3" s="58"/>
      <c r="Q3" s="31"/>
      <c r="R3" s="31"/>
      <c r="S3" s="30"/>
    </row>
    <row r="4" spans="1:27" ht="15" thickBot="1" x14ac:dyDescent="0.3">
      <c r="A4" s="37">
        <v>3</v>
      </c>
      <c r="B4" s="38"/>
      <c r="C4" s="38"/>
      <c r="D4" s="38"/>
      <c r="E4" s="38"/>
      <c r="F4" s="39"/>
      <c r="G4" s="27"/>
      <c r="H4" s="40"/>
      <c r="I4" s="43"/>
      <c r="J4" s="39"/>
      <c r="K4" s="39"/>
      <c r="L4" s="40"/>
      <c r="M4" s="40"/>
      <c r="N4" s="27"/>
      <c r="O4" s="43"/>
      <c r="P4" s="57"/>
      <c r="Q4" s="31"/>
      <c r="R4" s="31"/>
      <c r="S4" s="30"/>
    </row>
    <row r="5" spans="1:27" ht="25.2" customHeight="1" thickTop="1" x14ac:dyDescent="0.25">
      <c r="A5" s="44" t="s">
        <v>94</v>
      </c>
      <c r="B5" s="45"/>
      <c r="C5" s="45"/>
      <c r="D5" s="45"/>
      <c r="E5" s="45"/>
      <c r="F5" s="45"/>
      <c r="G5" s="45"/>
      <c r="H5" s="46"/>
      <c r="I5" s="49"/>
      <c r="J5" s="45"/>
      <c r="K5" s="45"/>
      <c r="L5" s="46"/>
      <c r="M5" s="46"/>
      <c r="N5" s="46"/>
      <c r="O5" s="49"/>
      <c r="P5" s="60">
        <f>SUM(P2:P4)</f>
        <v>0.16029119999999997</v>
      </c>
      <c r="Q5" s="55"/>
      <c r="R5" s="31"/>
      <c r="S5" s="30"/>
      <c r="T5" s="30"/>
      <c r="U5" s="30"/>
      <c r="V5" s="30"/>
      <c r="W5" s="30"/>
      <c r="X5" s="30"/>
    </row>
    <row r="6" spans="1:27" s="30" customFormat="1" ht="19.2" customHeight="1" x14ac:dyDescent="0.25">
      <c r="A6" s="62" t="s">
        <v>107</v>
      </c>
      <c r="B6" s="62"/>
      <c r="C6" s="62"/>
      <c r="D6" s="62"/>
      <c r="E6" s="62"/>
      <c r="F6" s="62"/>
      <c r="G6" s="62"/>
      <c r="H6" s="62"/>
      <c r="I6" s="62"/>
      <c r="J6" s="62"/>
      <c r="K6" s="62"/>
      <c r="L6" s="62"/>
      <c r="M6" s="62"/>
      <c r="N6" s="62"/>
      <c r="O6" s="62"/>
      <c r="P6" s="62"/>
      <c r="Q6" s="63"/>
      <c r="R6" s="63"/>
      <c r="S6" s="63"/>
      <c r="T6" s="63"/>
      <c r="U6" s="63"/>
      <c r="V6" s="63"/>
      <c r="W6" s="63"/>
      <c r="X6" s="63"/>
      <c r="Y6" s="63"/>
      <c r="Z6" s="63"/>
      <c r="AA6" s="63"/>
    </row>
    <row r="7" spans="1:27" s="30" customFormat="1" ht="15" customHeight="1" x14ac:dyDescent="0.25">
      <c r="A7" s="63"/>
      <c r="B7" s="63"/>
      <c r="C7" s="63"/>
      <c r="D7" s="63"/>
      <c r="E7" s="63"/>
      <c r="F7" s="63"/>
      <c r="G7" s="63"/>
      <c r="H7" s="63"/>
      <c r="I7" s="63"/>
      <c r="J7" s="63"/>
      <c r="K7" s="63"/>
      <c r="L7" s="63"/>
      <c r="M7" s="63"/>
      <c r="N7" s="63"/>
      <c r="O7" s="63"/>
      <c r="P7" s="63"/>
      <c r="Q7" s="63"/>
      <c r="R7" s="63"/>
      <c r="S7" s="63"/>
      <c r="T7" s="63"/>
      <c r="U7" s="63"/>
      <c r="V7" s="63"/>
      <c r="W7" s="63"/>
      <c r="X7" s="63"/>
      <c r="Y7" s="63"/>
      <c r="Z7" s="63"/>
      <c r="AA7" s="63"/>
    </row>
    <row r="8" spans="1:27" x14ac:dyDescent="0.25">
      <c r="A8" s="64"/>
      <c r="B8" s="64"/>
      <c r="C8" s="64"/>
      <c r="D8" s="64"/>
      <c r="E8" s="64"/>
      <c r="F8" s="64"/>
      <c r="G8" s="64"/>
      <c r="H8" s="64"/>
      <c r="I8" s="64"/>
      <c r="J8" s="64"/>
      <c r="K8" s="64"/>
      <c r="L8" s="64"/>
      <c r="M8" s="64"/>
      <c r="N8" s="64"/>
      <c r="O8" s="64"/>
      <c r="P8" s="64"/>
      <c r="Q8" s="64"/>
      <c r="R8" s="64"/>
      <c r="S8" s="64"/>
      <c r="T8" s="64"/>
      <c r="U8" s="64"/>
      <c r="V8" s="64"/>
      <c r="W8" s="64"/>
      <c r="X8" s="64"/>
      <c r="Y8" s="64"/>
      <c r="Z8" s="64"/>
      <c r="AA8" s="64"/>
    </row>
  </sheetData>
  <sheetProtection password="FADC" sheet="1" objects="1" scenarios="1" formatCells="0" formatColumns="0" formatRows="0" insertColumns="0" insertRows="0" insertHyperlinks="0" deleteColumns="0" deleteRows="0"/>
  <mergeCells count="3">
    <mergeCell ref="A6:AA6"/>
    <mergeCell ref="A7:AA7"/>
    <mergeCell ref="A8:AA8"/>
  </mergeCells>
  <phoneticPr fontId="1" type="noConversion"/>
  <dataValidations count="14">
    <dataValidation type="list" allowBlank="1" showInputMessage="1" showErrorMessage="1" sqref="N2:N4">
      <formula1>"98%,93%,80%,0%"</formula1>
    </dataValidation>
    <dataValidation type="list" allowBlank="1" showInputMessage="1" showErrorMessage="1" sqref="D3:D4">
      <formula1>"填料,塔板"</formula1>
    </dataValidation>
    <dataValidation type="list" allowBlank="1" showInputMessage="1" showErrorMessage="1" sqref="E2:E5">
      <formula1>"第1次,第2次,第3次,第4次,第5次,第6次,第7次,第8次,第9次,第10次"</formula1>
    </dataValidation>
    <dataValidation type="list" allowBlank="1" showInputMessage="1" showErrorMessage="1" prompt="比柴油轻时填轻，比柴油重时填重" sqref="H2:H5">
      <formula1>"轻,重"</formula1>
    </dataValidation>
    <dataValidation allowBlank="1" showInputMessage="1" showErrorMessage="1" prompt="必填项，为排放源的基础信息" sqref="B1:D1"/>
    <dataValidation allowBlank="1" showInputMessage="1" showErrorMessage="1" prompt="单独计算每次火炬的排放量时必填项，为排放源的基本信息" sqref="E1"/>
    <dataValidation allowBlank="1" showInputMessage="1" showErrorMessage="1" prompt="必填项，为计算参数" sqref="F1:L1"/>
    <dataValidation allowBlank="1" showInputMessage="1" showErrorMessage="1" prompt="程序自动输入数据，当输入其它源时可拷贝至同列其它单元格" sqref="G2:G4 I2"/>
    <dataValidation allowBlank="1" showInputMessage="1" showErrorMessage="1" prompt="排火炬时必填项，为计算参数，不排火炬时可填0" sqref="N1"/>
    <dataValidation allowBlank="1" showInputMessage="1" showErrorMessage="1" prompt="必填项，与计算有关的参数。当火炬每次排放情况不同、单独计算每次的排放量时，填1" sqref="O1"/>
    <dataValidation allowBlank="1" showInputMessage="1" showErrorMessage="1" prompt="必填项，为计算参数；当初期泄压、吹扫不进入火炬时填0" sqref="M1"/>
    <dataValidation allowBlank="1" showInputMessage="1" showErrorMessage="1" prompt="VOCs排放量中包含计算公式，不能删除；当排放源的数据填写完整后将其拷贝至同一列的相应位置即可" sqref="P1"/>
    <dataValidation allowBlank="1" showInputMessage="1" showErrorMessage="1" prompt="包含计算公式，计算时拷贝至所需单元格" sqref="P2"/>
    <dataValidation type="list" allowBlank="1" showInputMessage="1" showErrorMessage="1" sqref="D2">
      <formula1>"填料,塔板,其它"</formula1>
    </dataValidation>
  </dataValidation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H8"/>
  <sheetViews>
    <sheetView tabSelected="1" topLeftCell="E1" zoomScale="55" zoomScaleNormal="55" workbookViewId="0">
      <selection activeCell="AB13" sqref="AB13"/>
    </sheetView>
  </sheetViews>
  <sheetFormatPr defaultRowHeight="14.4" x14ac:dyDescent="0.25"/>
  <cols>
    <col min="1" max="10" width="8.88671875" style="5"/>
    <col min="11" max="11" width="12.33203125" style="5" customWidth="1"/>
    <col min="12" max="16" width="8.88671875" style="5"/>
    <col min="17" max="17" width="12.33203125" style="5" customWidth="1"/>
    <col min="18" max="21" width="8.88671875" style="5"/>
    <col min="22" max="24" width="8.88671875" style="5" hidden="1" customWidth="1"/>
    <col min="25" max="30" width="8.88671875" style="5"/>
    <col min="31" max="31" width="8.88671875" style="5" customWidth="1"/>
    <col min="32" max="32" width="8.88671875" style="5"/>
    <col min="33" max="33" width="8.88671875" style="5" hidden="1" customWidth="1"/>
    <col min="34" max="34" width="13.6640625" style="5" customWidth="1"/>
    <col min="35" max="16384" width="8.88671875" style="5"/>
  </cols>
  <sheetData>
    <row r="1" spans="1:34" ht="72" x14ac:dyDescent="0.25">
      <c r="A1" s="37" t="s">
        <v>0</v>
      </c>
      <c r="B1" s="38" t="s">
        <v>1</v>
      </c>
      <c r="C1" s="23" t="s">
        <v>123</v>
      </c>
      <c r="D1" s="23" t="s">
        <v>9</v>
      </c>
      <c r="E1" s="23" t="s">
        <v>3</v>
      </c>
      <c r="F1" s="22" t="s">
        <v>11</v>
      </c>
      <c r="G1" s="22" t="s">
        <v>2</v>
      </c>
      <c r="H1" s="22" t="s">
        <v>22</v>
      </c>
      <c r="I1" s="22" t="s">
        <v>30</v>
      </c>
      <c r="J1" s="22" t="s">
        <v>31</v>
      </c>
      <c r="K1" s="22" t="s">
        <v>105</v>
      </c>
      <c r="L1" s="22" t="s">
        <v>24</v>
      </c>
      <c r="M1" s="22" t="s">
        <v>23</v>
      </c>
      <c r="N1" s="22" t="s">
        <v>25</v>
      </c>
      <c r="O1" s="22" t="s">
        <v>29</v>
      </c>
      <c r="P1" s="22" t="s">
        <v>28</v>
      </c>
      <c r="Q1" s="22" t="s">
        <v>26</v>
      </c>
      <c r="R1" s="22" t="s">
        <v>27</v>
      </c>
      <c r="S1" s="22" t="s">
        <v>96</v>
      </c>
      <c r="T1" s="22" t="s">
        <v>7</v>
      </c>
      <c r="U1" s="39" t="s">
        <v>106</v>
      </c>
      <c r="V1" s="23" t="s">
        <v>12</v>
      </c>
      <c r="W1" s="23" t="s">
        <v>13</v>
      </c>
      <c r="X1" s="23" t="s">
        <v>99</v>
      </c>
      <c r="Y1" s="39" t="s">
        <v>39</v>
      </c>
      <c r="Z1" s="39" t="s">
        <v>4</v>
      </c>
      <c r="AA1" s="39" t="s">
        <v>15</v>
      </c>
      <c r="AB1" s="61" t="s">
        <v>42</v>
      </c>
      <c r="AC1" s="22" t="s">
        <v>44</v>
      </c>
      <c r="AD1" s="39" t="s">
        <v>5</v>
      </c>
      <c r="AE1" s="22" t="s">
        <v>7</v>
      </c>
      <c r="AF1" s="39" t="s">
        <v>106</v>
      </c>
      <c r="AG1" s="23" t="s">
        <v>100</v>
      </c>
      <c r="AH1" s="23" t="s">
        <v>101</v>
      </c>
    </row>
    <row r="2" spans="1:34" ht="100.8" x14ac:dyDescent="0.25">
      <c r="A2" s="26">
        <v>1</v>
      </c>
      <c r="B2" s="23" t="s">
        <v>10</v>
      </c>
      <c r="C2" s="23" t="s">
        <v>6</v>
      </c>
      <c r="D2" s="23" t="s">
        <v>16</v>
      </c>
      <c r="E2" s="23" t="s">
        <v>17</v>
      </c>
      <c r="F2" s="22">
        <v>566</v>
      </c>
      <c r="G2" s="32">
        <f>VLOOKUP(D2,相关系数取值!A2:B4,2,0)</f>
        <v>0.4</v>
      </c>
      <c r="H2" s="22">
        <v>400</v>
      </c>
      <c r="I2" s="22">
        <v>80</v>
      </c>
      <c r="J2" s="22">
        <f>I2+101.325</f>
        <v>181.32499999999999</v>
      </c>
      <c r="K2" s="22" t="s">
        <v>122</v>
      </c>
      <c r="L2" s="35">
        <v>93</v>
      </c>
      <c r="M2" s="36">
        <v>1</v>
      </c>
      <c r="N2" s="22">
        <v>250</v>
      </c>
      <c r="O2" s="22">
        <v>68.929000000000002</v>
      </c>
      <c r="P2" s="22">
        <f>O2+101.325</f>
        <v>170.25400000000002</v>
      </c>
      <c r="Q2" s="22" t="s">
        <v>121</v>
      </c>
      <c r="R2" s="28">
        <v>90</v>
      </c>
      <c r="S2" s="36">
        <v>0.06</v>
      </c>
      <c r="T2" s="27">
        <v>0.98</v>
      </c>
      <c r="U2" s="28">
        <v>1</v>
      </c>
      <c r="V2" s="23">
        <f>(J2/101.325)*(273.15/(273.15+H2))*F2*(1-G2)*M2*(L2/22.4)*10^-3*(1-T2)*U2</f>
        <v>2.0476844669980933E-2</v>
      </c>
      <c r="W2" s="23">
        <f>(P2/101.325)*(273.15/(273.15+N2))*F2*(1-G2)*S2*(R2/22.4)*10^-3*U2</f>
        <v>7.1823920937711991E-2</v>
      </c>
      <c r="X2" s="58">
        <f>IF(T2=0,V2,IF(T2&gt;0,V2+W2))</f>
        <v>9.2300765607692931E-2</v>
      </c>
      <c r="Y2" s="27" t="s">
        <v>35</v>
      </c>
      <c r="Z2" s="33">
        <f t="array" ref="Z2">VLOOKUP(D2&amp;Y2,IF({1,0},相关系数取值!A9:A14&amp;相关系数取值!B9:B14,相关系数取值!C9:C14),2,0)</f>
        <v>5.0000000000000001E-3</v>
      </c>
      <c r="AA2" s="22">
        <v>800</v>
      </c>
      <c r="AB2" s="22" t="s">
        <v>43</v>
      </c>
      <c r="AC2" s="27">
        <v>1</v>
      </c>
      <c r="AD2" s="27">
        <v>0.9</v>
      </c>
      <c r="AE2" s="27">
        <v>0.98</v>
      </c>
      <c r="AF2" s="28">
        <v>1</v>
      </c>
      <c r="AG2" s="58">
        <f>G2*(1-G2)*Z2*AA2*AC2*10^-3*(1-AD2*AE2)*AF2</f>
        <v>1.1328E-4</v>
      </c>
      <c r="AH2" s="56">
        <f>X2+AG2</f>
        <v>9.2414045607692924E-2</v>
      </c>
    </row>
    <row r="3" spans="1:34" ht="25.2" customHeight="1" x14ac:dyDescent="0.25">
      <c r="A3" s="26">
        <v>2</v>
      </c>
      <c r="B3" s="23"/>
      <c r="C3" s="23"/>
      <c r="D3" s="23"/>
      <c r="E3" s="23"/>
      <c r="F3" s="22"/>
      <c r="G3" s="27"/>
      <c r="H3" s="22"/>
      <c r="I3" s="22"/>
      <c r="J3" s="22"/>
      <c r="K3" s="22"/>
      <c r="L3" s="35"/>
      <c r="M3" s="36"/>
      <c r="N3" s="22"/>
      <c r="O3" s="22"/>
      <c r="P3" s="22"/>
      <c r="Q3" s="22"/>
      <c r="R3" s="28"/>
      <c r="S3" s="36"/>
      <c r="T3" s="27"/>
      <c r="U3" s="28"/>
      <c r="V3" s="23"/>
      <c r="W3" s="23"/>
      <c r="X3" s="58"/>
      <c r="Y3" s="27"/>
      <c r="Z3" s="28"/>
      <c r="AA3" s="22"/>
      <c r="AB3" s="22"/>
      <c r="AC3" s="27"/>
      <c r="AD3" s="27"/>
      <c r="AE3" s="27"/>
      <c r="AF3" s="28"/>
      <c r="AG3" s="58"/>
      <c r="AH3" s="58"/>
    </row>
    <row r="4" spans="1:34" ht="26.4" customHeight="1" thickBot="1" x14ac:dyDescent="0.3">
      <c r="A4" s="37">
        <v>3</v>
      </c>
      <c r="B4" s="38"/>
      <c r="C4" s="38"/>
      <c r="D4" s="38"/>
      <c r="E4" s="38"/>
      <c r="F4" s="39"/>
      <c r="G4" s="27"/>
      <c r="H4" s="39"/>
      <c r="I4" s="39"/>
      <c r="J4" s="39"/>
      <c r="K4" s="39"/>
      <c r="L4" s="41"/>
      <c r="M4" s="42"/>
      <c r="N4" s="39"/>
      <c r="O4" s="39"/>
      <c r="P4" s="39"/>
      <c r="Q4" s="39"/>
      <c r="R4" s="43"/>
      <c r="S4" s="42"/>
      <c r="T4" s="40"/>
      <c r="U4" s="43"/>
      <c r="V4" s="38"/>
      <c r="W4" s="38"/>
      <c r="X4" s="57"/>
      <c r="Y4" s="40"/>
      <c r="Z4" s="28"/>
      <c r="AA4" s="39"/>
      <c r="AB4" s="39"/>
      <c r="AC4" s="40"/>
      <c r="AD4" s="40"/>
      <c r="AE4" s="27"/>
      <c r="AF4" s="43"/>
      <c r="AG4" s="57"/>
      <c r="AH4" s="57"/>
    </row>
    <row r="5" spans="1:34" ht="26.4" customHeight="1" thickTop="1" x14ac:dyDescent="0.25">
      <c r="A5" s="44" t="s">
        <v>98</v>
      </c>
      <c r="B5" s="45"/>
      <c r="C5" s="45"/>
      <c r="D5" s="45"/>
      <c r="E5" s="45"/>
      <c r="F5" s="45"/>
      <c r="G5" s="46"/>
      <c r="H5" s="45"/>
      <c r="I5" s="45"/>
      <c r="J5" s="45"/>
      <c r="K5" s="45"/>
      <c r="L5" s="47"/>
      <c r="M5" s="48"/>
      <c r="N5" s="45"/>
      <c r="O5" s="45"/>
      <c r="P5" s="45"/>
      <c r="Q5" s="45"/>
      <c r="R5" s="47"/>
      <c r="S5" s="48"/>
      <c r="T5" s="46"/>
      <c r="U5" s="49"/>
      <c r="V5" s="45"/>
      <c r="W5" s="45"/>
      <c r="X5" s="47"/>
      <c r="Y5" s="46"/>
      <c r="Z5" s="49"/>
      <c r="AA5" s="45"/>
      <c r="AB5" s="45"/>
      <c r="AC5" s="46"/>
      <c r="AD5" s="46"/>
      <c r="AE5" s="46"/>
      <c r="AF5" s="49"/>
      <c r="AG5" s="59"/>
      <c r="AH5" s="60">
        <f>SUM(AH2:AH4)</f>
        <v>9.2414045607692924E-2</v>
      </c>
    </row>
    <row r="6" spans="1:34" ht="14.4" customHeight="1" x14ac:dyDescent="0.25">
      <c r="A6" s="62" t="s">
        <v>107</v>
      </c>
      <c r="B6" s="62"/>
      <c r="C6" s="62"/>
      <c r="D6" s="62"/>
      <c r="E6" s="62"/>
      <c r="F6" s="62"/>
      <c r="G6" s="62"/>
      <c r="H6" s="62"/>
      <c r="I6" s="62"/>
      <c r="J6" s="62"/>
      <c r="K6" s="62"/>
      <c r="L6" s="62"/>
      <c r="M6" s="62"/>
      <c r="N6" s="62"/>
      <c r="O6" s="62"/>
      <c r="P6" s="62"/>
      <c r="Q6" s="63"/>
      <c r="R6" s="63"/>
      <c r="S6" s="63"/>
      <c r="T6" s="63"/>
      <c r="U6" s="63"/>
      <c r="V6" s="63"/>
      <c r="W6" s="63"/>
      <c r="X6" s="63"/>
      <c r="Y6" s="63"/>
      <c r="Z6" s="63"/>
      <c r="AA6" s="63"/>
    </row>
    <row r="7" spans="1:34" ht="14.4" customHeight="1" x14ac:dyDescent="0.25">
      <c r="A7" s="63"/>
      <c r="B7" s="63"/>
      <c r="C7" s="63"/>
      <c r="D7" s="63"/>
      <c r="E7" s="63"/>
      <c r="F7" s="63"/>
      <c r="G7" s="63"/>
      <c r="H7" s="63"/>
      <c r="I7" s="63"/>
      <c r="J7" s="63"/>
      <c r="K7" s="63"/>
      <c r="L7" s="63"/>
      <c r="M7" s="63"/>
      <c r="N7" s="63"/>
      <c r="O7" s="63"/>
      <c r="P7" s="63"/>
      <c r="Q7" s="63"/>
      <c r="R7" s="63"/>
      <c r="S7" s="63"/>
      <c r="T7" s="63"/>
      <c r="U7" s="63"/>
      <c r="V7" s="63"/>
      <c r="W7" s="63"/>
      <c r="X7" s="63"/>
      <c r="Y7" s="63"/>
      <c r="Z7" s="63"/>
      <c r="AA7" s="63"/>
    </row>
    <row r="8" spans="1:34" x14ac:dyDescent="0.25">
      <c r="A8" s="64"/>
      <c r="B8" s="64"/>
      <c r="C8" s="64"/>
      <c r="D8" s="64"/>
      <c r="E8" s="64"/>
      <c r="F8" s="64"/>
      <c r="G8" s="64"/>
      <c r="H8" s="64"/>
      <c r="I8" s="64"/>
      <c r="J8" s="64"/>
      <c r="K8" s="64"/>
      <c r="L8" s="64"/>
      <c r="M8" s="64"/>
      <c r="N8" s="64"/>
      <c r="O8" s="64"/>
      <c r="P8" s="64"/>
      <c r="Q8" s="64"/>
      <c r="R8" s="64"/>
      <c r="S8" s="64"/>
      <c r="T8" s="64"/>
      <c r="U8" s="64"/>
      <c r="V8" s="64"/>
      <c r="W8" s="64"/>
      <c r="X8" s="64"/>
      <c r="Y8" s="64"/>
      <c r="Z8" s="64"/>
      <c r="AA8" s="64"/>
    </row>
  </sheetData>
  <sheetProtection password="FADC" sheet="1" objects="1" scenarios="1" formatCells="0" formatColumns="0" formatRows="0" insertColumns="0" insertRows="0" insertHyperlinks="0" deleteColumns="0" deleteRows="0"/>
  <mergeCells count="3">
    <mergeCell ref="A6:AA6"/>
    <mergeCell ref="A7:AA7"/>
    <mergeCell ref="A8:AA8"/>
  </mergeCells>
  <phoneticPr fontId="1" type="noConversion"/>
  <dataValidations count="14">
    <dataValidation type="list" allowBlank="1" showInputMessage="1" showErrorMessage="1" prompt="比柴油轻时填轻，比柴油重时填重" sqref="Y2:Y4">
      <formula1>"轻,重"</formula1>
    </dataValidation>
    <dataValidation type="list" allowBlank="1" showInputMessage="1" showErrorMessage="1" sqref="AE2:AE4">
      <formula1>"98%,93%,80%,0%"</formula1>
    </dataValidation>
    <dataValidation type="list" allowBlank="1" showInputMessage="1" showErrorMessage="1" sqref="D3:D5">
      <formula1>"填料,塔板"</formula1>
    </dataValidation>
    <dataValidation type="list" allowBlank="1" showInputMessage="1" showErrorMessage="1" sqref="E2:E5">
      <formula1>"第1次,第2次,第3次,第4次,第5次,第6次,第7次,第8次,第9次,第10次"</formula1>
    </dataValidation>
    <dataValidation allowBlank="1" showInputMessage="1" showErrorMessage="1" prompt="单独计算每次火炬的排放量时必填项，为排放源的基本信息" sqref="E1"/>
    <dataValidation allowBlank="1" showInputMessage="1" showErrorMessage="1" prompt="必填项，为排放源的基础信息" sqref="B1:D1"/>
    <dataValidation allowBlank="1" showInputMessage="1" showErrorMessage="1" prompt="为计算参数，排火炬时必填项，不排火炬时可不填" sqref="H1:M1"/>
    <dataValidation allowBlank="1" showInputMessage="1" showErrorMessage="1" prompt="程序自动输入数据，当输入其它源时可拷贝至同列其它单元格" sqref="G2:G4 Z2:Z4"/>
    <dataValidation allowBlank="1" showInputMessage="1" showErrorMessage="1" prompt="必填项，为计算参数" sqref="F1:G1 N1:S1 Y1:AC1"/>
    <dataValidation allowBlank="1" showInputMessage="1" showErrorMessage="1" prompt="必填项，为计算参数；当初期泄压、吹扫不进入火炬时填0" sqref="AD1"/>
    <dataValidation allowBlank="1" showInputMessage="1" showErrorMessage="1" prompt="必填项，与计算有关的参数。当火炬每次排放情况不同、单独计算每次的排放量时，填1" sqref="AF1 U1"/>
    <dataValidation allowBlank="1" showInputMessage="1" showErrorMessage="1" prompt="排火炬时必填项，为计算参数，不排火炬时可填0" sqref="AE1 T1"/>
    <dataValidation allowBlank="1" showInputMessage="1" showErrorMessage="1" prompt="包含计算公式，计算时拷贝至所需单元格" sqref="AH2"/>
    <dataValidation type="list" allowBlank="1" showInputMessage="1" showErrorMessage="1" sqref="D2">
      <formula1>"填料,塔板,其它"</formula1>
    </dataValidation>
  </dataValidation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51"/>
  <sheetViews>
    <sheetView zoomScale="70" zoomScaleNormal="70" workbookViewId="0">
      <selection activeCell="Q9" sqref="Q9"/>
    </sheetView>
  </sheetViews>
  <sheetFormatPr defaultRowHeight="14.4" x14ac:dyDescent="0.25"/>
  <cols>
    <col min="1" max="1" width="14.5546875" customWidth="1"/>
    <col min="2" max="2" width="11.77734375" customWidth="1"/>
    <col min="3" max="3" width="9.44140625" customWidth="1"/>
    <col min="4" max="4" width="9.5546875" customWidth="1"/>
    <col min="5" max="5" width="13.6640625" customWidth="1"/>
    <col min="6" max="6" width="14.88671875" customWidth="1"/>
    <col min="7" max="7" width="12.77734375" customWidth="1"/>
    <col min="8" max="8" width="17.44140625" customWidth="1"/>
    <col min="9" max="9" width="12.44140625" customWidth="1"/>
    <col min="10" max="10" width="11.33203125" customWidth="1"/>
    <col min="12" max="12" width="13.33203125" customWidth="1"/>
    <col min="13" max="13" width="14.109375" customWidth="1"/>
    <col min="14" max="14" width="13.88671875" customWidth="1"/>
    <col min="15" max="15" width="9.6640625" customWidth="1"/>
    <col min="16" max="16" width="12.77734375" customWidth="1"/>
    <col min="17" max="17" width="15.33203125" customWidth="1"/>
    <col min="18" max="18" width="12.88671875" customWidth="1"/>
    <col min="19" max="19" width="14.109375" customWidth="1"/>
  </cols>
  <sheetData>
    <row r="1" spans="1:15" ht="30.6" customHeight="1" x14ac:dyDescent="0.25">
      <c r="A1" s="51" t="s">
        <v>103</v>
      </c>
      <c r="B1" s="50"/>
      <c r="C1" s="50"/>
      <c r="D1" s="50"/>
      <c r="E1" s="50"/>
      <c r="F1" s="50"/>
      <c r="G1" s="50"/>
      <c r="H1" s="50"/>
      <c r="L1" s="65" t="s">
        <v>102</v>
      </c>
      <c r="M1" s="65"/>
      <c r="N1" s="65"/>
      <c r="O1" s="65"/>
    </row>
    <row r="2" spans="1:15" ht="25.8" customHeight="1" x14ac:dyDescent="0.25">
      <c r="A2" s="17" t="s">
        <v>111</v>
      </c>
      <c r="B2" s="17" t="s">
        <v>110</v>
      </c>
      <c r="C2" s="52" t="s">
        <v>45</v>
      </c>
      <c r="D2" s="52" t="s">
        <v>8</v>
      </c>
      <c r="E2" s="53" t="s">
        <v>46</v>
      </c>
      <c r="F2" s="54" t="s">
        <v>118</v>
      </c>
      <c r="G2" s="54" t="s">
        <v>119</v>
      </c>
      <c r="H2" s="53" t="s">
        <v>120</v>
      </c>
      <c r="L2" s="3" t="s">
        <v>124</v>
      </c>
      <c r="M2" s="3" t="s">
        <v>125</v>
      </c>
      <c r="N2" s="3" t="s">
        <v>126</v>
      </c>
      <c r="O2" s="15" t="s">
        <v>93</v>
      </c>
    </row>
    <row r="3" spans="1:15" x14ac:dyDescent="0.25">
      <c r="A3" s="3" t="s">
        <v>112</v>
      </c>
      <c r="B3" s="2">
        <v>0.15</v>
      </c>
      <c r="C3" s="12">
        <f>IFERROR(VLOOKUP(A3,常用物质的分子量!A2:J101,2,0),"")</f>
        <v>86</v>
      </c>
      <c r="D3" s="12" t="str">
        <f>IFERROR(VLOOKUP(A3,常用物质的分子量!A2:J101,10,0),"")</f>
        <v>VOC</v>
      </c>
      <c r="E3" s="18">
        <f>SUMIF(D3:D22,"VOC",B3:B22)</f>
        <v>0.99999999999999989</v>
      </c>
      <c r="F3" s="34">
        <f>IFERROR(B3*C3,"")</f>
        <v>12.9</v>
      </c>
      <c r="G3" s="34">
        <f>SUMIF(D3:D22,"VOC",F3:F22)</f>
        <v>93</v>
      </c>
      <c r="H3" s="19">
        <f>G3/E3</f>
        <v>93.000000000000014</v>
      </c>
      <c r="L3" s="3" t="s">
        <v>112</v>
      </c>
      <c r="M3" s="2">
        <v>0.15</v>
      </c>
      <c r="N3" s="12" t="str">
        <f>IFERROR(VLOOKUP(L3,常用物质的分子量!A2:J101,10,0),"")</f>
        <v>VOC</v>
      </c>
      <c r="O3" s="18">
        <f>SUMIF(N3:N22,"VOC",M3:M22)</f>
        <v>0.99999999999999989</v>
      </c>
    </row>
    <row r="4" spans="1:15" x14ac:dyDescent="0.25">
      <c r="A4" s="3" t="s">
        <v>113</v>
      </c>
      <c r="B4" s="2">
        <v>0.15</v>
      </c>
      <c r="C4" s="12">
        <f>IFERROR(VLOOKUP(A4,常用物质的分子量!A3:J102,2,0),"")</f>
        <v>78</v>
      </c>
      <c r="D4" s="12" t="str">
        <f>IFERROR(VLOOKUP(A4,常用物质的分子量!A3:J102,10,0),"")</f>
        <v>VOC</v>
      </c>
      <c r="E4" s="18"/>
      <c r="F4" s="34">
        <f t="shared" ref="F4:F22" si="0">IFERROR(B4*C4,"")</f>
        <v>11.7</v>
      </c>
      <c r="G4" s="34"/>
      <c r="H4" s="14"/>
      <c r="L4" s="3" t="s">
        <v>113</v>
      </c>
      <c r="M4" s="2">
        <v>0.15</v>
      </c>
      <c r="N4" s="12" t="str">
        <f>IFERROR(VLOOKUP(L4,常用物质的分子量!A3:J102,10,0),"")</f>
        <v>VOC</v>
      </c>
      <c r="O4" s="18"/>
    </row>
    <row r="5" spans="1:15" x14ac:dyDescent="0.25">
      <c r="A5" s="3" t="s">
        <v>114</v>
      </c>
      <c r="B5" s="2">
        <v>0.3</v>
      </c>
      <c r="C5" s="12">
        <f>IFERROR(VLOOKUP(A5,常用物质的分子量!A4:J103,2,0),"")</f>
        <v>92</v>
      </c>
      <c r="D5" s="12" t="str">
        <f>IFERROR(VLOOKUP(A5,常用物质的分子量!A4:J103,10,0),"")</f>
        <v>VOC</v>
      </c>
      <c r="E5" s="18"/>
      <c r="F5" s="34">
        <f t="shared" si="0"/>
        <v>27.599999999999998</v>
      </c>
      <c r="G5" s="34"/>
      <c r="H5" s="14"/>
      <c r="L5" s="3" t="s">
        <v>114</v>
      </c>
      <c r="M5" s="2">
        <v>0.3</v>
      </c>
      <c r="N5" s="12" t="str">
        <f>IFERROR(VLOOKUP(L5,常用物质的分子量!A4:J103,10,0),"")</f>
        <v>VOC</v>
      </c>
      <c r="O5" s="18"/>
    </row>
    <row r="6" spans="1:15" x14ac:dyDescent="0.25">
      <c r="A6" s="3" t="s">
        <v>115</v>
      </c>
      <c r="B6" s="2">
        <v>0.3</v>
      </c>
      <c r="C6" s="12">
        <f>IFERROR(VLOOKUP(A6,常用物质的分子量!A5:J104,2,0),"")</f>
        <v>106</v>
      </c>
      <c r="D6" s="12" t="str">
        <f>IFERROR(VLOOKUP(A6,常用物质的分子量!A5:J104,10,0),"")</f>
        <v>VOC</v>
      </c>
      <c r="E6" s="18"/>
      <c r="F6" s="34">
        <f t="shared" si="0"/>
        <v>31.799999999999997</v>
      </c>
      <c r="G6" s="34"/>
      <c r="H6" s="14"/>
      <c r="L6" s="3" t="s">
        <v>115</v>
      </c>
      <c r="M6" s="2">
        <v>0.3</v>
      </c>
      <c r="N6" s="12" t="str">
        <f>IFERROR(VLOOKUP(L6,常用物质的分子量!A5:J104,10,0),"")</f>
        <v>VOC</v>
      </c>
      <c r="O6" s="18"/>
    </row>
    <row r="7" spans="1:15" x14ac:dyDescent="0.25">
      <c r="A7" s="3" t="s">
        <v>116</v>
      </c>
      <c r="B7" s="2">
        <v>0.1</v>
      </c>
      <c r="C7" s="12">
        <f>IFERROR(VLOOKUP(A7,常用物质的分子量!A6:J105,2,0),"")</f>
        <v>90</v>
      </c>
      <c r="D7" s="12" t="str">
        <f>IFERROR(VLOOKUP(A7,常用物质的分子量!A6:J105,10,0),"")</f>
        <v>VOC</v>
      </c>
      <c r="E7" s="18"/>
      <c r="F7" s="34">
        <f t="shared" si="0"/>
        <v>9</v>
      </c>
      <c r="G7" s="34"/>
      <c r="H7" s="14"/>
      <c r="L7" s="3" t="s">
        <v>116</v>
      </c>
      <c r="M7" s="2">
        <v>0.1</v>
      </c>
      <c r="N7" s="12" t="str">
        <f>IFERROR(VLOOKUP(L7,常用物质的分子量!A6:J105,10,0),"")</f>
        <v>VOC</v>
      </c>
      <c r="O7" s="18"/>
    </row>
    <row r="8" spans="1:15" x14ac:dyDescent="0.25">
      <c r="A8" s="3" t="s">
        <v>117</v>
      </c>
      <c r="B8" s="2">
        <v>0</v>
      </c>
      <c r="C8" s="12">
        <f>IFERROR(VLOOKUP(A8,常用物质的分子量!A7:J106,2,0),"")</f>
        <v>28</v>
      </c>
      <c r="D8" s="12" t="str">
        <f>IFERROR(VLOOKUP(A8,常用物质的分子量!A7:J106,10,0),"")</f>
        <v>非V0C</v>
      </c>
      <c r="E8" s="18"/>
      <c r="F8" s="34">
        <f t="shared" si="0"/>
        <v>0</v>
      </c>
      <c r="G8" s="34"/>
      <c r="H8" s="14"/>
      <c r="L8" s="3" t="s">
        <v>117</v>
      </c>
      <c r="M8" s="2">
        <v>0</v>
      </c>
      <c r="N8" s="12" t="str">
        <f>IFERROR(VLOOKUP(L8,常用物质的分子量!A7:J106,10,0),"")</f>
        <v>非V0C</v>
      </c>
      <c r="O8" s="18"/>
    </row>
    <row r="9" spans="1:15" x14ac:dyDescent="0.25">
      <c r="A9" s="3" t="e">
        <f>IF(#REF!="","",#REF!)</f>
        <v>#REF!</v>
      </c>
      <c r="B9" s="2" t="e">
        <f>IF(#REF!="","",#REF!)</f>
        <v>#REF!</v>
      </c>
      <c r="C9" s="12" t="str">
        <f>IFERROR(VLOOKUP(A9,常用物质的分子量!A8:J107,2,0),"")</f>
        <v/>
      </c>
      <c r="D9" s="12" t="str">
        <f>IFERROR(VLOOKUP(A9,常用物质的分子量!A8:J107,10,0),"")</f>
        <v/>
      </c>
      <c r="E9" s="18"/>
      <c r="F9" s="34" t="str">
        <f t="shared" si="0"/>
        <v/>
      </c>
      <c r="G9" s="34"/>
      <c r="H9" s="14"/>
      <c r="L9" s="3"/>
      <c r="M9" s="2"/>
      <c r="N9" s="12" t="str">
        <f>IFERROR(VLOOKUP(L9,常用物质的分子量!A8:J107,10,0),"")</f>
        <v/>
      </c>
      <c r="O9" s="18"/>
    </row>
    <row r="10" spans="1:15" x14ac:dyDescent="0.25">
      <c r="A10" s="3" t="e">
        <f>IF(#REF!="","",#REF!)</f>
        <v>#REF!</v>
      </c>
      <c r="B10" s="2" t="e">
        <f>IF(#REF!="","",#REF!)</f>
        <v>#REF!</v>
      </c>
      <c r="C10" s="12" t="str">
        <f>IFERROR(VLOOKUP(A10,常用物质的分子量!A9:J108,2,0),"")</f>
        <v/>
      </c>
      <c r="D10" s="12" t="str">
        <f>IFERROR(VLOOKUP(A10,常用物质的分子量!A9:J108,10,0),"")</f>
        <v/>
      </c>
      <c r="E10" s="18"/>
      <c r="F10" s="34" t="str">
        <f t="shared" si="0"/>
        <v/>
      </c>
      <c r="G10" s="34"/>
      <c r="H10" s="14"/>
      <c r="L10" s="3"/>
      <c r="M10" s="2"/>
      <c r="N10" s="12" t="str">
        <f>IFERROR(VLOOKUP(L10,常用物质的分子量!A9:J108,10,0),"")</f>
        <v/>
      </c>
      <c r="O10" s="18"/>
    </row>
    <row r="11" spans="1:15" x14ac:dyDescent="0.25">
      <c r="A11" s="3" t="e">
        <f>IF(#REF!="","",#REF!)</f>
        <v>#REF!</v>
      </c>
      <c r="B11" s="2" t="e">
        <f>IF(#REF!="","",#REF!)</f>
        <v>#REF!</v>
      </c>
      <c r="C11" s="12" t="str">
        <f>IFERROR(VLOOKUP(A11,常用物质的分子量!A10:J109,2,0),"")</f>
        <v/>
      </c>
      <c r="D11" s="12" t="str">
        <f>IFERROR(VLOOKUP(A11,常用物质的分子量!A10:J109,10,0),"")</f>
        <v/>
      </c>
      <c r="E11" s="18"/>
      <c r="F11" s="34" t="str">
        <f t="shared" si="0"/>
        <v/>
      </c>
      <c r="G11" s="34"/>
      <c r="H11" s="14"/>
      <c r="L11" s="3"/>
      <c r="M11" s="2"/>
      <c r="N11" s="12" t="str">
        <f>IFERROR(VLOOKUP(L11,常用物质的分子量!A10:J109,10,0),"")</f>
        <v/>
      </c>
      <c r="O11" s="18"/>
    </row>
    <row r="12" spans="1:15" x14ac:dyDescent="0.25">
      <c r="A12" s="3" t="e">
        <f>IF(#REF!="","",#REF!)</f>
        <v>#REF!</v>
      </c>
      <c r="B12" s="2" t="e">
        <f>IF(#REF!="","",#REF!)</f>
        <v>#REF!</v>
      </c>
      <c r="C12" s="12" t="str">
        <f>IFERROR(VLOOKUP(A12,常用物质的分子量!A11:J110,2,0),"")</f>
        <v/>
      </c>
      <c r="D12" s="12" t="str">
        <f>IFERROR(VLOOKUP(A12,常用物质的分子量!A11:J110,10,0),"")</f>
        <v/>
      </c>
      <c r="E12" s="18"/>
      <c r="F12" s="34" t="str">
        <f t="shared" si="0"/>
        <v/>
      </c>
      <c r="G12" s="34"/>
      <c r="H12" s="14"/>
      <c r="L12" s="3"/>
      <c r="M12" s="2"/>
      <c r="N12" s="12" t="str">
        <f>IFERROR(VLOOKUP(L12,常用物质的分子量!A11:J110,10,0),"")</f>
        <v/>
      </c>
      <c r="O12" s="18"/>
    </row>
    <row r="13" spans="1:15" x14ac:dyDescent="0.25">
      <c r="A13" s="3" t="e">
        <f>IF(#REF!="","",#REF!)</f>
        <v>#REF!</v>
      </c>
      <c r="B13" s="2" t="e">
        <f>IF(#REF!="","",#REF!)</f>
        <v>#REF!</v>
      </c>
      <c r="C13" s="12" t="str">
        <f>IFERROR(VLOOKUP(A13,常用物质的分子量!A12:J111,2,0),"")</f>
        <v/>
      </c>
      <c r="D13" s="12" t="str">
        <f>IFERROR(VLOOKUP(A13,常用物质的分子量!A12:J111,10,0),"")</f>
        <v/>
      </c>
      <c r="E13" s="18"/>
      <c r="F13" s="34" t="str">
        <f t="shared" si="0"/>
        <v/>
      </c>
      <c r="G13" s="34"/>
      <c r="H13" s="14"/>
      <c r="L13" s="3"/>
      <c r="M13" s="2"/>
      <c r="N13" s="12" t="str">
        <f>IFERROR(VLOOKUP(L13,常用物质的分子量!A12:J111,10,0),"")</f>
        <v/>
      </c>
      <c r="O13" s="18"/>
    </row>
    <row r="14" spans="1:15" x14ac:dyDescent="0.25">
      <c r="A14" s="3" t="e">
        <f>IF(#REF!="","",#REF!)</f>
        <v>#REF!</v>
      </c>
      <c r="B14" s="2" t="e">
        <f>IF(#REF!="","",#REF!)</f>
        <v>#REF!</v>
      </c>
      <c r="C14" s="12" t="str">
        <f>IFERROR(VLOOKUP(A14,常用物质的分子量!A13:J112,2,0),"")</f>
        <v/>
      </c>
      <c r="D14" s="12" t="str">
        <f>IFERROR(VLOOKUP(A14,常用物质的分子量!A13:J112,10,0),"")</f>
        <v/>
      </c>
      <c r="E14" s="18"/>
      <c r="F14" s="34" t="str">
        <f t="shared" si="0"/>
        <v/>
      </c>
      <c r="G14" s="34"/>
      <c r="H14" s="14"/>
      <c r="L14" s="3"/>
      <c r="M14" s="2"/>
      <c r="N14" s="12" t="str">
        <f>IFERROR(VLOOKUP(L14,常用物质的分子量!A13:J112,10,0),"")</f>
        <v/>
      </c>
      <c r="O14" s="18"/>
    </row>
    <row r="15" spans="1:15" x14ac:dyDescent="0.25">
      <c r="A15" s="3" t="e">
        <f>IF(#REF!="","",#REF!)</f>
        <v>#REF!</v>
      </c>
      <c r="B15" s="2" t="e">
        <f>IF(#REF!="","",#REF!)</f>
        <v>#REF!</v>
      </c>
      <c r="C15" s="12" t="str">
        <f>IFERROR(VLOOKUP(A15,常用物质的分子量!A14:J113,2,0),"")</f>
        <v/>
      </c>
      <c r="D15" s="12" t="str">
        <f>IFERROR(VLOOKUP(A15,常用物质的分子量!A14:J113,10,0),"")</f>
        <v/>
      </c>
      <c r="E15" s="18"/>
      <c r="F15" s="34" t="str">
        <f t="shared" si="0"/>
        <v/>
      </c>
      <c r="G15" s="34"/>
      <c r="H15" s="14"/>
      <c r="L15" s="3"/>
      <c r="M15" s="2"/>
      <c r="N15" s="12" t="str">
        <f>IFERROR(VLOOKUP(L15,常用物质的分子量!A14:J113,10,0),"")</f>
        <v/>
      </c>
      <c r="O15" s="18"/>
    </row>
    <row r="16" spans="1:15" x14ac:dyDescent="0.25">
      <c r="A16" s="3" t="e">
        <f>IF(#REF!="","",#REF!)</f>
        <v>#REF!</v>
      </c>
      <c r="B16" s="2" t="e">
        <f>IF(#REF!="","",#REF!)</f>
        <v>#REF!</v>
      </c>
      <c r="C16" s="12" t="str">
        <f>IFERROR(VLOOKUP(A16,常用物质的分子量!A15:J114,2,0),"")</f>
        <v/>
      </c>
      <c r="D16" s="12" t="str">
        <f>IFERROR(VLOOKUP(A16,常用物质的分子量!A15:J114,10,0),"")</f>
        <v/>
      </c>
      <c r="E16" s="18"/>
      <c r="F16" s="34" t="str">
        <f t="shared" si="0"/>
        <v/>
      </c>
      <c r="G16" s="34"/>
      <c r="H16" s="14"/>
      <c r="L16" s="3"/>
      <c r="M16" s="2"/>
      <c r="N16" s="12" t="str">
        <f>IFERROR(VLOOKUP(L16,常用物质的分子量!A15:J114,10,0),"")</f>
        <v/>
      </c>
      <c r="O16" s="18"/>
    </row>
    <row r="17" spans="1:15" x14ac:dyDescent="0.25">
      <c r="A17" s="3" t="e">
        <f>IF(#REF!="","",#REF!)</f>
        <v>#REF!</v>
      </c>
      <c r="B17" s="2" t="e">
        <f>IF(#REF!="","",#REF!)</f>
        <v>#REF!</v>
      </c>
      <c r="C17" s="12" t="str">
        <f>IFERROR(VLOOKUP(A17,常用物质的分子量!A16:J115,2,0),"")</f>
        <v/>
      </c>
      <c r="D17" s="12" t="str">
        <f>IFERROR(VLOOKUP(A17,常用物质的分子量!A16:J115,10,0),"")</f>
        <v/>
      </c>
      <c r="E17" s="18"/>
      <c r="F17" s="34" t="str">
        <f t="shared" si="0"/>
        <v/>
      </c>
      <c r="G17" s="34"/>
      <c r="H17" s="14"/>
      <c r="L17" s="3"/>
      <c r="M17" s="2"/>
      <c r="N17" s="12" t="str">
        <f>IFERROR(VLOOKUP(L17,常用物质的分子量!A16:J115,10,0),"")</f>
        <v/>
      </c>
      <c r="O17" s="18"/>
    </row>
    <row r="18" spans="1:15" x14ac:dyDescent="0.25">
      <c r="A18" s="3" t="e">
        <f>IF(#REF!="","",#REF!)</f>
        <v>#REF!</v>
      </c>
      <c r="B18" s="2" t="e">
        <f>IF(#REF!="","",#REF!)</f>
        <v>#REF!</v>
      </c>
      <c r="C18" s="12" t="str">
        <f>IFERROR(VLOOKUP(A18,常用物质的分子量!A17:J116,2,0),"")</f>
        <v/>
      </c>
      <c r="D18" s="12" t="str">
        <f>IFERROR(VLOOKUP(A18,常用物质的分子量!A17:J116,10,0),"")</f>
        <v/>
      </c>
      <c r="E18" s="18"/>
      <c r="F18" s="34" t="str">
        <f t="shared" si="0"/>
        <v/>
      </c>
      <c r="G18" s="34"/>
      <c r="H18" s="14"/>
      <c r="L18" s="3"/>
      <c r="M18" s="2"/>
      <c r="N18" s="12" t="str">
        <f>IFERROR(VLOOKUP(L18,常用物质的分子量!A17:J116,10,0),"")</f>
        <v/>
      </c>
      <c r="O18" s="18"/>
    </row>
    <row r="19" spans="1:15" x14ac:dyDescent="0.25">
      <c r="A19" s="3" t="e">
        <f>IF(#REF!="","",#REF!)</f>
        <v>#REF!</v>
      </c>
      <c r="B19" s="2" t="e">
        <f>IF(#REF!="","",#REF!)</f>
        <v>#REF!</v>
      </c>
      <c r="C19" s="12" t="str">
        <f>IFERROR(VLOOKUP(A19,常用物质的分子量!A18:J117,2,0),"")</f>
        <v/>
      </c>
      <c r="D19" s="12" t="str">
        <f>IFERROR(VLOOKUP(A19,常用物质的分子量!A18:J117,10,0),"")</f>
        <v/>
      </c>
      <c r="E19" s="18"/>
      <c r="F19" s="34" t="str">
        <f t="shared" si="0"/>
        <v/>
      </c>
      <c r="G19" s="34"/>
      <c r="H19" s="14"/>
      <c r="L19" s="3"/>
      <c r="M19" s="2"/>
      <c r="N19" s="12" t="str">
        <f>IFERROR(VLOOKUP(L19,常用物质的分子量!A18:J117,10,0),"")</f>
        <v/>
      </c>
      <c r="O19" s="18"/>
    </row>
    <row r="20" spans="1:15" x14ac:dyDescent="0.25">
      <c r="A20" s="3" t="e">
        <f>IF(#REF!="","",#REF!)</f>
        <v>#REF!</v>
      </c>
      <c r="B20" s="2" t="e">
        <f>IF(#REF!="","",#REF!)</f>
        <v>#REF!</v>
      </c>
      <c r="C20" s="12" t="str">
        <f>IFERROR(VLOOKUP(A20,常用物质的分子量!A19:J118,2,0),"")</f>
        <v/>
      </c>
      <c r="D20" s="12" t="str">
        <f>IFERROR(VLOOKUP(A20,常用物质的分子量!A19:J118,10,0),"")</f>
        <v/>
      </c>
      <c r="E20" s="18"/>
      <c r="F20" s="34" t="str">
        <f t="shared" si="0"/>
        <v/>
      </c>
      <c r="G20" s="34"/>
      <c r="H20" s="14"/>
      <c r="L20" s="3"/>
      <c r="M20" s="2"/>
      <c r="N20" s="12" t="str">
        <f>IFERROR(VLOOKUP(L20,常用物质的分子量!A19:J118,10,0),"")</f>
        <v/>
      </c>
      <c r="O20" s="18"/>
    </row>
    <row r="21" spans="1:15" x14ac:dyDescent="0.25">
      <c r="A21" s="3" t="e">
        <f>IF(#REF!="","",#REF!)</f>
        <v>#REF!</v>
      </c>
      <c r="B21" s="2" t="e">
        <f>IF(#REF!="","",#REF!)</f>
        <v>#REF!</v>
      </c>
      <c r="C21" s="12" t="str">
        <f>IFERROR(VLOOKUP(A21,常用物质的分子量!A20:J119,2,0),"")</f>
        <v/>
      </c>
      <c r="D21" s="12" t="str">
        <f>IFERROR(VLOOKUP(A21,常用物质的分子量!A20:J119,10,0),"")</f>
        <v/>
      </c>
      <c r="E21" s="18"/>
      <c r="F21" s="34" t="str">
        <f t="shared" si="0"/>
        <v/>
      </c>
      <c r="G21" s="34"/>
      <c r="H21" s="14"/>
      <c r="L21" s="3"/>
      <c r="M21" s="2"/>
      <c r="N21" s="12" t="str">
        <f>IFERROR(VLOOKUP(L21,常用物质的分子量!A20:J119,10,0),"")</f>
        <v/>
      </c>
      <c r="O21" s="18"/>
    </row>
    <row r="22" spans="1:15" x14ac:dyDescent="0.25">
      <c r="A22" s="3" t="e">
        <f>IF(#REF!="","",#REF!)</f>
        <v>#REF!</v>
      </c>
      <c r="B22" s="2" t="e">
        <f>IF(#REF!="","",#REF!)</f>
        <v>#REF!</v>
      </c>
      <c r="C22" s="12" t="str">
        <f>IFERROR(VLOOKUP(A22,常用物质的分子量!A21:J120,2,0),"")</f>
        <v/>
      </c>
      <c r="D22" s="12" t="str">
        <f>IFERROR(VLOOKUP(A22,常用物质的分子量!A21:J120,10,0),"")</f>
        <v/>
      </c>
      <c r="E22" s="18"/>
      <c r="F22" s="34" t="str">
        <f t="shared" si="0"/>
        <v/>
      </c>
      <c r="G22" s="34"/>
      <c r="H22" s="14"/>
      <c r="L22" s="3"/>
      <c r="M22" s="2"/>
      <c r="N22" s="12" t="str">
        <f>IFERROR(VLOOKUP(L22,常用物质的分子量!A21:J120,10,0),"")</f>
        <v/>
      </c>
      <c r="O22" s="18"/>
    </row>
    <row r="25" spans="1:15" ht="39" customHeight="1" x14ac:dyDescent="0.25">
      <c r="A25" s="65" t="s">
        <v>104</v>
      </c>
      <c r="B25" s="65"/>
      <c r="C25" s="65"/>
      <c r="D25" s="65"/>
      <c r="E25" s="65"/>
      <c r="F25" s="65"/>
      <c r="G25" s="65"/>
      <c r="H25" s="65"/>
    </row>
    <row r="26" spans="1:15" ht="28.8" x14ac:dyDescent="0.25">
      <c r="A26" s="17" t="s">
        <v>109</v>
      </c>
      <c r="B26" s="17" t="s">
        <v>110</v>
      </c>
      <c r="C26" s="8" t="s">
        <v>45</v>
      </c>
      <c r="D26" s="8" t="s">
        <v>8</v>
      </c>
      <c r="E26" s="15" t="s">
        <v>46</v>
      </c>
      <c r="F26" s="16" t="s">
        <v>47</v>
      </c>
      <c r="G26" s="54" t="s">
        <v>119</v>
      </c>
      <c r="H26" s="53" t="s">
        <v>120</v>
      </c>
    </row>
    <row r="27" spans="1:15" x14ac:dyDescent="0.25">
      <c r="A27" s="3" t="s">
        <v>112</v>
      </c>
      <c r="B27" s="2">
        <v>5.0000000000000001E-3</v>
      </c>
      <c r="C27" s="12">
        <f>IFERROR(VLOOKUP(A27,常用物质的分子量!A2:B101,2,0),"")</f>
        <v>86</v>
      </c>
      <c r="D27" s="12" t="str">
        <f>IFERROR(VLOOKUP(A27,常用物质的分子量!A2:J101,10,0),"")</f>
        <v>VOC</v>
      </c>
      <c r="E27" s="18">
        <f>SUMIF(D27:D46,"VOC",B27:B46)</f>
        <v>0.06</v>
      </c>
      <c r="F27" s="34">
        <f>IFERROR(B27*C27,"")</f>
        <v>0.43</v>
      </c>
      <c r="G27" s="34">
        <f>SUMIF(D27:D46,"VOC",F27:F46)</f>
        <v>5.3919999999999995</v>
      </c>
      <c r="H27" s="19">
        <f>G27/E27</f>
        <v>89.86666666666666</v>
      </c>
    </row>
    <row r="28" spans="1:15" x14ac:dyDescent="0.25">
      <c r="A28" s="3" t="s">
        <v>113</v>
      </c>
      <c r="B28" s="2">
        <v>1.2E-2</v>
      </c>
      <c r="C28" s="12">
        <f>IFERROR(VLOOKUP(A28,常用物质的分子量!A3:B102,2,0),"")</f>
        <v>78</v>
      </c>
      <c r="D28" s="12" t="str">
        <f>IFERROR(VLOOKUP(A28,常用物质的分子量!A3:J102,10,0),"")</f>
        <v>VOC</v>
      </c>
      <c r="E28" s="18"/>
      <c r="F28" s="34">
        <f t="shared" ref="F28:F46" si="1">IFERROR(B28*C28,"")</f>
        <v>0.93600000000000005</v>
      </c>
      <c r="G28" s="34"/>
      <c r="H28" s="14"/>
    </row>
    <row r="29" spans="1:15" x14ac:dyDescent="0.25">
      <c r="A29" s="3" t="s">
        <v>114</v>
      </c>
      <c r="B29" s="2">
        <v>1.4E-2</v>
      </c>
      <c r="C29" s="12">
        <f>IFERROR(VLOOKUP(A29,常用物质的分子量!A4:B103,2,0),"")</f>
        <v>92</v>
      </c>
      <c r="D29" s="12" t="str">
        <f>IFERROR(VLOOKUP(A29,常用物质的分子量!A4:J103,10,0),"")</f>
        <v>VOC</v>
      </c>
      <c r="E29" s="18"/>
      <c r="F29" s="34">
        <f t="shared" si="1"/>
        <v>1.288</v>
      </c>
      <c r="G29" s="34"/>
      <c r="H29" s="14"/>
    </row>
    <row r="30" spans="1:15" x14ac:dyDescent="0.25">
      <c r="A30" s="3" t="s">
        <v>115</v>
      </c>
      <c r="B30" s="2">
        <v>8.0000000000000002E-3</v>
      </c>
      <c r="C30" s="12">
        <f>IFERROR(VLOOKUP(A30,常用物质的分子量!A5:B104,2,0),"")</f>
        <v>106</v>
      </c>
      <c r="D30" s="12" t="str">
        <f>IFERROR(VLOOKUP(A30,常用物质的分子量!A5:J104,10,0),"")</f>
        <v>VOC</v>
      </c>
      <c r="E30" s="18"/>
      <c r="F30" s="34">
        <f t="shared" si="1"/>
        <v>0.84799999999999998</v>
      </c>
      <c r="G30" s="34"/>
      <c r="H30" s="14"/>
    </row>
    <row r="31" spans="1:15" x14ac:dyDescent="0.25">
      <c r="A31" s="3" t="s">
        <v>116</v>
      </c>
      <c r="B31" s="2">
        <v>2.1000000000000001E-2</v>
      </c>
      <c r="C31" s="12">
        <f>IFERROR(VLOOKUP(A31,常用物质的分子量!A6:B105,2,0),"")</f>
        <v>90</v>
      </c>
      <c r="D31" s="12" t="str">
        <f>IFERROR(VLOOKUP(A31,常用物质的分子量!A6:J105,10,0),"")</f>
        <v>VOC</v>
      </c>
      <c r="E31" s="18"/>
      <c r="F31" s="34">
        <f t="shared" si="1"/>
        <v>1.8900000000000001</v>
      </c>
      <c r="G31" s="34"/>
      <c r="H31" s="14"/>
    </row>
    <row r="32" spans="1:15" x14ac:dyDescent="0.25">
      <c r="A32" s="3" t="s">
        <v>117</v>
      </c>
      <c r="B32" s="2">
        <v>0.94</v>
      </c>
      <c r="C32" s="12">
        <f>IFERROR(VLOOKUP(A32,常用物质的分子量!A7:B106,2,0),"")</f>
        <v>28</v>
      </c>
      <c r="D32" s="12" t="str">
        <f>IFERROR(VLOOKUP(A32,常用物质的分子量!A7:J106,10,0),"")</f>
        <v>非V0C</v>
      </c>
      <c r="E32" s="18"/>
      <c r="F32" s="34">
        <f t="shared" si="1"/>
        <v>26.32</v>
      </c>
      <c r="G32" s="34"/>
      <c r="H32" s="14"/>
    </row>
    <row r="33" spans="1:15" x14ac:dyDescent="0.25">
      <c r="A33" s="3" t="e">
        <f>IF(#REF!="","",#REF!)</f>
        <v>#REF!</v>
      </c>
      <c r="B33" s="2" t="e">
        <f>IF(#REF!="","",#REF!)</f>
        <v>#REF!</v>
      </c>
      <c r="C33" s="12" t="str">
        <f>IFERROR(VLOOKUP(A33,常用物质的分子量!A8:B107,2,0),"")</f>
        <v/>
      </c>
      <c r="D33" s="12" t="str">
        <f>IFERROR(VLOOKUP(A33,常用物质的分子量!A8:J107,10,0),"")</f>
        <v/>
      </c>
      <c r="E33" s="18"/>
      <c r="F33" s="34" t="str">
        <f t="shared" si="1"/>
        <v/>
      </c>
      <c r="G33" s="34"/>
      <c r="H33" s="14"/>
    </row>
    <row r="34" spans="1:15" x14ac:dyDescent="0.25">
      <c r="A34" s="3" t="e">
        <f>IF(#REF!="","",#REF!)</f>
        <v>#REF!</v>
      </c>
      <c r="B34" s="2" t="e">
        <f>IF(#REF!="","",#REF!)</f>
        <v>#REF!</v>
      </c>
      <c r="C34" s="12" t="str">
        <f>IFERROR(VLOOKUP(A34,常用物质的分子量!A9:B108,2,0),"")</f>
        <v/>
      </c>
      <c r="D34" s="12" t="str">
        <f>IFERROR(VLOOKUP(A34,常用物质的分子量!A9:J108,10,0),"")</f>
        <v/>
      </c>
      <c r="E34" s="18"/>
      <c r="F34" s="34" t="str">
        <f t="shared" si="1"/>
        <v/>
      </c>
      <c r="G34" s="34"/>
      <c r="H34" s="14"/>
      <c r="M34" t="e">
        <f>IF(#REF!="","",#REF!)</f>
        <v>#REF!</v>
      </c>
      <c r="N34" t="e">
        <f>IF(#REF!="","",#REF!)</f>
        <v>#REF!</v>
      </c>
      <c r="O34" t="str">
        <f>IFERROR(VLOOKUP(M34,常用物质的分子量!M10:V47,10,0),"")</f>
        <v/>
      </c>
    </row>
    <row r="35" spans="1:15" x14ac:dyDescent="0.25">
      <c r="A35" s="3" t="e">
        <f>IF(#REF!="","",#REF!)</f>
        <v>#REF!</v>
      </c>
      <c r="B35" s="2" t="e">
        <f>IF(#REF!="","",#REF!)</f>
        <v>#REF!</v>
      </c>
      <c r="C35" s="12" t="str">
        <f>IFERROR(VLOOKUP(A35,常用物质的分子量!A10:B109,2,0),"")</f>
        <v/>
      </c>
      <c r="D35" s="12" t="str">
        <f>IFERROR(VLOOKUP(A35,常用物质的分子量!A10:J109,10,0),"")</f>
        <v/>
      </c>
      <c r="E35" s="18"/>
      <c r="F35" s="34" t="str">
        <f t="shared" si="1"/>
        <v/>
      </c>
      <c r="G35" s="34"/>
      <c r="H35" s="14"/>
      <c r="M35" t="e">
        <f>IF(#REF!="","",#REF!)</f>
        <v>#REF!</v>
      </c>
      <c r="N35" t="e">
        <f>IF(#REF!="","",#REF!)</f>
        <v>#REF!</v>
      </c>
      <c r="O35" t="str">
        <f>IFERROR(VLOOKUP(M35,常用物质的分子量!M11:V48,10,0),"")</f>
        <v/>
      </c>
    </row>
    <row r="36" spans="1:15" x14ac:dyDescent="0.25">
      <c r="A36" s="3" t="e">
        <f>IF(#REF!="","",#REF!)</f>
        <v>#REF!</v>
      </c>
      <c r="B36" s="2" t="e">
        <f>IF(#REF!="","",#REF!)</f>
        <v>#REF!</v>
      </c>
      <c r="C36" s="12" t="str">
        <f>IFERROR(VLOOKUP(A36,常用物质的分子量!A11:B110,2,0),"")</f>
        <v/>
      </c>
      <c r="D36" s="12" t="str">
        <f>IFERROR(VLOOKUP(A36,常用物质的分子量!A11:J110,10,0),"")</f>
        <v/>
      </c>
      <c r="E36" s="18"/>
      <c r="F36" s="34" t="str">
        <f t="shared" si="1"/>
        <v/>
      </c>
      <c r="G36" s="34"/>
      <c r="H36" s="14"/>
      <c r="M36" t="e">
        <f>IF(#REF!="","",#REF!)</f>
        <v>#REF!</v>
      </c>
      <c r="N36" t="e">
        <f>IF(#REF!="","",#REF!)</f>
        <v>#REF!</v>
      </c>
      <c r="O36" t="str">
        <f>IFERROR(VLOOKUP(M36,常用物质的分子量!M12:V49,10,0),"")</f>
        <v/>
      </c>
    </row>
    <row r="37" spans="1:15" x14ac:dyDescent="0.25">
      <c r="A37" s="3" t="e">
        <f>IF(#REF!="","",#REF!)</f>
        <v>#REF!</v>
      </c>
      <c r="B37" s="2" t="e">
        <f>IF(#REF!="","",#REF!)</f>
        <v>#REF!</v>
      </c>
      <c r="C37" s="12" t="str">
        <f>IFERROR(VLOOKUP(A37,常用物质的分子量!A12:B111,2,0),"")</f>
        <v/>
      </c>
      <c r="D37" s="12" t="str">
        <f>IFERROR(VLOOKUP(A37,常用物质的分子量!A12:J111,10,0),"")</f>
        <v/>
      </c>
      <c r="E37" s="18"/>
      <c r="F37" s="34" t="str">
        <f t="shared" si="1"/>
        <v/>
      </c>
      <c r="G37" s="34"/>
      <c r="H37" s="14"/>
      <c r="M37" t="e">
        <f>IF(#REF!="","",#REF!)</f>
        <v>#REF!</v>
      </c>
      <c r="N37" t="e">
        <f>IF(#REF!="","",#REF!)</f>
        <v>#REF!</v>
      </c>
      <c r="O37" t="str">
        <f>IFERROR(VLOOKUP(M37,常用物质的分子量!M13:V50,10,0),"")</f>
        <v/>
      </c>
    </row>
    <row r="38" spans="1:15" x14ac:dyDescent="0.25">
      <c r="A38" s="3" t="e">
        <f>IF(#REF!="","",#REF!)</f>
        <v>#REF!</v>
      </c>
      <c r="B38" s="2" t="e">
        <f>IF(#REF!="","",#REF!)</f>
        <v>#REF!</v>
      </c>
      <c r="C38" s="12" t="str">
        <f>IFERROR(VLOOKUP(A38,常用物质的分子量!A13:B112,2,0),"")</f>
        <v/>
      </c>
      <c r="D38" s="12" t="str">
        <f>IFERROR(VLOOKUP(A38,常用物质的分子量!A13:J112,10,0),"")</f>
        <v/>
      </c>
      <c r="E38" s="18"/>
      <c r="F38" s="34" t="str">
        <f t="shared" si="1"/>
        <v/>
      </c>
      <c r="G38" s="34"/>
      <c r="H38" s="14"/>
      <c r="M38" t="e">
        <f>IF(#REF!="","",#REF!)</f>
        <v>#REF!</v>
      </c>
      <c r="N38" t="e">
        <f>IF(#REF!="","",#REF!)</f>
        <v>#REF!</v>
      </c>
      <c r="O38" t="str">
        <f>IFERROR(VLOOKUP(M38,常用物质的分子量!M14:V51,10,0),"")</f>
        <v/>
      </c>
    </row>
    <row r="39" spans="1:15" x14ac:dyDescent="0.25">
      <c r="A39" s="3" t="e">
        <f>IF(#REF!="","",#REF!)</f>
        <v>#REF!</v>
      </c>
      <c r="B39" s="2" t="e">
        <f>IF(#REF!="","",#REF!)</f>
        <v>#REF!</v>
      </c>
      <c r="C39" s="12" t="str">
        <f>IFERROR(VLOOKUP(A39,常用物质的分子量!A14:B113,2,0),"")</f>
        <v/>
      </c>
      <c r="D39" s="12" t="str">
        <f>IFERROR(VLOOKUP(A39,常用物质的分子量!A14:J113,10,0),"")</f>
        <v/>
      </c>
      <c r="E39" s="18"/>
      <c r="F39" s="34" t="str">
        <f t="shared" si="1"/>
        <v/>
      </c>
      <c r="G39" s="34"/>
      <c r="H39" s="14"/>
      <c r="M39" t="e">
        <f>IF(#REF!="","",#REF!)</f>
        <v>#REF!</v>
      </c>
      <c r="N39" t="e">
        <f>IF(#REF!="","",#REF!)</f>
        <v>#REF!</v>
      </c>
      <c r="O39" t="str">
        <f>IFERROR(VLOOKUP(M39,常用物质的分子量!M15:V52,10,0),"")</f>
        <v/>
      </c>
    </row>
    <row r="40" spans="1:15" x14ac:dyDescent="0.25">
      <c r="A40" s="3" t="e">
        <f>IF(#REF!="","",#REF!)</f>
        <v>#REF!</v>
      </c>
      <c r="B40" s="2" t="e">
        <f>IF(#REF!="","",#REF!)</f>
        <v>#REF!</v>
      </c>
      <c r="C40" s="12" t="str">
        <f>IFERROR(VLOOKUP(A40,常用物质的分子量!A15:B114,2,0),"")</f>
        <v/>
      </c>
      <c r="D40" s="12" t="str">
        <f>IFERROR(VLOOKUP(A40,常用物质的分子量!A15:J114,10,0),"")</f>
        <v/>
      </c>
      <c r="E40" s="18"/>
      <c r="F40" s="34" t="str">
        <f t="shared" si="1"/>
        <v/>
      </c>
      <c r="G40" s="34"/>
      <c r="H40" s="14"/>
      <c r="M40" t="e">
        <f>IF(#REF!="","",#REF!)</f>
        <v>#REF!</v>
      </c>
      <c r="N40" t="e">
        <f>IF(#REF!="","",#REF!)</f>
        <v>#REF!</v>
      </c>
      <c r="O40" t="str">
        <f>IFERROR(VLOOKUP(M40,常用物质的分子量!M16:V53,10,0),"")</f>
        <v/>
      </c>
    </row>
    <row r="41" spans="1:15" x14ac:dyDescent="0.25">
      <c r="A41" s="3" t="e">
        <f>IF(#REF!="","",#REF!)</f>
        <v>#REF!</v>
      </c>
      <c r="B41" s="2" t="e">
        <f>IF(#REF!="","",#REF!)</f>
        <v>#REF!</v>
      </c>
      <c r="C41" s="12" t="str">
        <f>IFERROR(VLOOKUP(A41,常用物质的分子量!A16:B115,2,0),"")</f>
        <v/>
      </c>
      <c r="D41" s="12" t="str">
        <f>IFERROR(VLOOKUP(A41,常用物质的分子量!A16:J115,10,0),"")</f>
        <v/>
      </c>
      <c r="E41" s="18"/>
      <c r="F41" s="34" t="str">
        <f t="shared" si="1"/>
        <v/>
      </c>
      <c r="G41" s="34"/>
      <c r="H41" s="14"/>
      <c r="M41" t="e">
        <f>IF(#REF!="","",#REF!)</f>
        <v>#REF!</v>
      </c>
      <c r="N41" t="e">
        <f>IF(#REF!="","",#REF!)</f>
        <v>#REF!</v>
      </c>
      <c r="O41" t="str">
        <f>IFERROR(VLOOKUP(M41,常用物质的分子量!M17:V54,10,0),"")</f>
        <v/>
      </c>
    </row>
    <row r="42" spans="1:15" x14ac:dyDescent="0.25">
      <c r="A42" s="3" t="e">
        <f>IF(#REF!="","",#REF!)</f>
        <v>#REF!</v>
      </c>
      <c r="B42" s="2" t="e">
        <f>IF(#REF!="","",#REF!)</f>
        <v>#REF!</v>
      </c>
      <c r="C42" s="12" t="str">
        <f>IFERROR(VLOOKUP(A42,常用物质的分子量!A17:B116,2,0),"")</f>
        <v/>
      </c>
      <c r="D42" s="12" t="str">
        <f>IFERROR(VLOOKUP(A42,常用物质的分子量!A17:J116,10,0),"")</f>
        <v/>
      </c>
      <c r="E42" s="18"/>
      <c r="F42" s="34" t="str">
        <f t="shared" si="1"/>
        <v/>
      </c>
      <c r="G42" s="34"/>
      <c r="H42" s="14"/>
      <c r="M42" t="e">
        <f>IF(#REF!="","",#REF!)</f>
        <v>#REF!</v>
      </c>
      <c r="N42" t="e">
        <f>IF(#REF!="","",#REF!)</f>
        <v>#REF!</v>
      </c>
      <c r="O42" t="str">
        <f>IFERROR(VLOOKUP(M42,常用物质的分子量!M18:V55,10,0),"")</f>
        <v/>
      </c>
    </row>
    <row r="43" spans="1:15" x14ac:dyDescent="0.25">
      <c r="A43" s="3" t="e">
        <f>IF(#REF!="","",#REF!)</f>
        <v>#REF!</v>
      </c>
      <c r="B43" s="2" t="e">
        <f>IF(#REF!="","",#REF!)</f>
        <v>#REF!</v>
      </c>
      <c r="C43" s="12" t="str">
        <f>IFERROR(VLOOKUP(A43,常用物质的分子量!A18:B117,2,0),"")</f>
        <v/>
      </c>
      <c r="D43" s="12" t="str">
        <f>IFERROR(VLOOKUP(A43,常用物质的分子量!A18:J117,10,0),"")</f>
        <v/>
      </c>
      <c r="E43" s="18"/>
      <c r="F43" s="34" t="str">
        <f t="shared" si="1"/>
        <v/>
      </c>
      <c r="G43" s="34"/>
      <c r="H43" s="14"/>
      <c r="M43" t="e">
        <f>IF(#REF!="","",#REF!)</f>
        <v>#REF!</v>
      </c>
      <c r="N43" t="e">
        <f>IF(#REF!="","",#REF!)</f>
        <v>#REF!</v>
      </c>
      <c r="O43" t="str">
        <f>IFERROR(VLOOKUP(M43,常用物质的分子量!M19:V56,10,0),"")</f>
        <v/>
      </c>
    </row>
    <row r="44" spans="1:15" x14ac:dyDescent="0.25">
      <c r="A44" s="3" t="e">
        <f>IF(#REF!="","",#REF!)</f>
        <v>#REF!</v>
      </c>
      <c r="B44" s="2" t="e">
        <f>IF(#REF!="","",#REF!)</f>
        <v>#REF!</v>
      </c>
      <c r="C44" s="12" t="str">
        <f>IFERROR(VLOOKUP(A44,常用物质的分子量!A19:B118,2,0),"")</f>
        <v/>
      </c>
      <c r="D44" s="12" t="str">
        <f>IFERROR(VLOOKUP(A44,常用物质的分子量!A19:J118,10,0),"")</f>
        <v/>
      </c>
      <c r="E44" s="18"/>
      <c r="F44" s="34" t="str">
        <f t="shared" si="1"/>
        <v/>
      </c>
      <c r="G44" s="34"/>
      <c r="H44" s="14"/>
      <c r="M44" t="e">
        <f>IF(#REF!="","",#REF!)</f>
        <v>#REF!</v>
      </c>
      <c r="N44" t="e">
        <f>IF(#REF!="","",#REF!)</f>
        <v>#REF!</v>
      </c>
      <c r="O44" t="str">
        <f>IFERROR(VLOOKUP(M44,常用物质的分子量!M20:V57,10,0),"")</f>
        <v/>
      </c>
    </row>
    <row r="45" spans="1:15" x14ac:dyDescent="0.25">
      <c r="A45" s="3" t="e">
        <f>IF(#REF!="","",#REF!)</f>
        <v>#REF!</v>
      </c>
      <c r="B45" s="2" t="e">
        <f>IF(#REF!="","",#REF!)</f>
        <v>#REF!</v>
      </c>
      <c r="C45" s="12" t="str">
        <f>IFERROR(VLOOKUP(A45,常用物质的分子量!A20:B119,2,0),"")</f>
        <v/>
      </c>
      <c r="D45" s="12" t="str">
        <f>IFERROR(VLOOKUP(A45,常用物质的分子量!A20:J119,10,0),"")</f>
        <v/>
      </c>
      <c r="E45" s="18"/>
      <c r="F45" s="34" t="str">
        <f t="shared" si="1"/>
        <v/>
      </c>
      <c r="G45" s="34"/>
      <c r="H45" s="14"/>
      <c r="M45" t="e">
        <f>IF(#REF!="","",#REF!)</f>
        <v>#REF!</v>
      </c>
      <c r="N45" t="e">
        <f>IF(#REF!="","",#REF!)</f>
        <v>#REF!</v>
      </c>
      <c r="O45" t="str">
        <f>IFERROR(VLOOKUP(M45,常用物质的分子量!M21:V58,10,0),"")</f>
        <v/>
      </c>
    </row>
    <row r="46" spans="1:15" x14ac:dyDescent="0.25">
      <c r="A46" s="3" t="e">
        <f>IF(#REF!="","",#REF!)</f>
        <v>#REF!</v>
      </c>
      <c r="B46" s="2" t="e">
        <f>IF(#REF!="","",#REF!)</f>
        <v>#REF!</v>
      </c>
      <c r="C46" s="12" t="str">
        <f>IFERROR(VLOOKUP(A46,常用物质的分子量!A21:B120,2,0),"")</f>
        <v/>
      </c>
      <c r="D46" s="12" t="str">
        <f>IFERROR(VLOOKUP(A46,常用物质的分子量!A21:J120,10,0),"")</f>
        <v/>
      </c>
      <c r="E46" s="18"/>
      <c r="F46" s="34" t="str">
        <f t="shared" si="1"/>
        <v/>
      </c>
      <c r="G46" s="34"/>
      <c r="H46" s="14"/>
      <c r="M46" t="e">
        <f>IF(#REF!="","",#REF!)</f>
        <v>#REF!</v>
      </c>
      <c r="N46" t="e">
        <f>IF(#REF!="","",#REF!)</f>
        <v>#REF!</v>
      </c>
      <c r="O46" t="str">
        <f>IFERROR(VLOOKUP(M46,常用物质的分子量!M22:V59,10,0),"")</f>
        <v/>
      </c>
    </row>
    <row r="47" spans="1:15" x14ac:dyDescent="0.25">
      <c r="M47" t="e">
        <f>IF(#REF!="","",#REF!)</f>
        <v>#REF!</v>
      </c>
      <c r="N47" t="e">
        <f>IF(#REF!="","",#REF!)</f>
        <v>#REF!</v>
      </c>
      <c r="O47" t="str">
        <f>IFERROR(VLOOKUP(M47,常用物质的分子量!M24:V61,10,0),"")</f>
        <v/>
      </c>
    </row>
    <row r="48" spans="1:15" x14ac:dyDescent="0.25">
      <c r="M48" t="e">
        <f>IF(#REF!="","",#REF!)</f>
        <v>#REF!</v>
      </c>
      <c r="N48" t="e">
        <f>IF(#REF!="","",#REF!)</f>
        <v>#REF!</v>
      </c>
      <c r="O48" t="str">
        <f>IFERROR(VLOOKUP(M48,常用物质的分子量!M25:V62,10,0),"")</f>
        <v/>
      </c>
    </row>
    <row r="49" spans="13:15" x14ac:dyDescent="0.25">
      <c r="M49" t="e">
        <f>IF(#REF!="","",#REF!)</f>
        <v>#REF!</v>
      </c>
      <c r="N49" t="e">
        <f>IF(#REF!="","",#REF!)</f>
        <v>#REF!</v>
      </c>
      <c r="O49" t="str">
        <f>IFERROR(VLOOKUP(M49,常用物质的分子量!M26:V63,10,0),"")</f>
        <v/>
      </c>
    </row>
    <row r="50" spans="13:15" x14ac:dyDescent="0.25">
      <c r="M50" t="e">
        <f>IF(#REF!="","",#REF!)</f>
        <v>#REF!</v>
      </c>
      <c r="N50" t="e">
        <f>IF(#REF!="","",#REF!)</f>
        <v>#REF!</v>
      </c>
      <c r="O50" t="str">
        <f>IFERROR(VLOOKUP(M50,常用物质的分子量!M27:V64,10,0),"")</f>
        <v/>
      </c>
    </row>
    <row r="51" spans="13:15" x14ac:dyDescent="0.25">
      <c r="M51" t="e">
        <f>IF(#REF!="","",#REF!)</f>
        <v>#REF!</v>
      </c>
      <c r="N51" t="e">
        <f>IF(#REF!="","",#REF!)</f>
        <v>#REF!</v>
      </c>
      <c r="O51" t="str">
        <f>IFERROR(VLOOKUP(M51,常用物质的分子量!M28:V65,10,0),"")</f>
        <v/>
      </c>
    </row>
  </sheetData>
  <mergeCells count="2">
    <mergeCell ref="L1:O1"/>
    <mergeCell ref="A25:H25"/>
  </mergeCells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0"/>
  <sheetViews>
    <sheetView topLeftCell="A82" workbookViewId="0">
      <selection activeCell="N49" sqref="N49"/>
    </sheetView>
  </sheetViews>
  <sheetFormatPr defaultRowHeight="14.4" x14ac:dyDescent="0.25"/>
  <cols>
    <col min="3" max="9" width="0" hidden="1" customWidth="1"/>
  </cols>
  <sheetData>
    <row r="1" spans="1:10" x14ac:dyDescent="0.25">
      <c r="A1" s="4" t="s">
        <v>48</v>
      </c>
      <c r="B1" s="6" t="s">
        <v>49</v>
      </c>
      <c r="C1" s="6" t="s">
        <v>50</v>
      </c>
      <c r="D1" s="6" t="s">
        <v>51</v>
      </c>
      <c r="E1" s="6" t="s">
        <v>52</v>
      </c>
      <c r="F1" s="6" t="s">
        <v>53</v>
      </c>
      <c r="G1" s="6" t="s">
        <v>54</v>
      </c>
      <c r="H1" s="6" t="s">
        <v>55</v>
      </c>
      <c r="I1" s="7" t="s">
        <v>49</v>
      </c>
      <c r="J1" s="6" t="s">
        <v>56</v>
      </c>
    </row>
    <row r="2" spans="1:10" x14ac:dyDescent="0.25">
      <c r="A2" t="s">
        <v>57</v>
      </c>
      <c r="B2" s="7">
        <f>I2</f>
        <v>16</v>
      </c>
      <c r="C2" s="7">
        <v>1</v>
      </c>
      <c r="D2" s="7">
        <f>C2*2+2</f>
        <v>4</v>
      </c>
      <c r="E2" s="7">
        <v>0</v>
      </c>
      <c r="F2" s="7">
        <v>0</v>
      </c>
      <c r="G2" s="7">
        <v>0</v>
      </c>
      <c r="H2" s="7">
        <v>0</v>
      </c>
      <c r="I2" s="7">
        <f>C2*12+D2*1+E2*16+F2*14+G2*35+H2*32</f>
        <v>16</v>
      </c>
      <c r="J2" s="7" t="s">
        <v>58</v>
      </c>
    </row>
    <row r="3" spans="1:10" x14ac:dyDescent="0.25">
      <c r="A3" t="s">
        <v>59</v>
      </c>
      <c r="B3" s="7">
        <f>I3</f>
        <v>30</v>
      </c>
      <c r="C3" s="7">
        <v>2</v>
      </c>
      <c r="D3" s="7">
        <f>C3*2+2</f>
        <v>6</v>
      </c>
      <c r="E3" s="7">
        <v>0</v>
      </c>
      <c r="F3" s="7">
        <v>0</v>
      </c>
      <c r="G3" s="7">
        <v>0</v>
      </c>
      <c r="H3" s="7">
        <v>0</v>
      </c>
      <c r="I3" s="7">
        <f>C3*12+D3*1+E3*16+F3*14+G3*35+H3*32</f>
        <v>30</v>
      </c>
      <c r="J3" s="7" t="s">
        <v>58</v>
      </c>
    </row>
    <row r="4" spans="1:10" x14ac:dyDescent="0.25">
      <c r="A4" t="s">
        <v>60</v>
      </c>
      <c r="B4" s="7">
        <f t="shared" ref="B4:B39" si="0">I4</f>
        <v>28</v>
      </c>
      <c r="C4" s="7">
        <v>2</v>
      </c>
      <c r="D4" s="7">
        <f>C4*2</f>
        <v>4</v>
      </c>
      <c r="E4" s="7">
        <v>0</v>
      </c>
      <c r="F4" s="7">
        <v>0</v>
      </c>
      <c r="G4" s="7">
        <v>0</v>
      </c>
      <c r="H4" s="7">
        <v>0</v>
      </c>
      <c r="I4" s="7">
        <f t="shared" ref="I4:I39" si="1">C4*12+D4*1+E4*16+F4*14+G4*35+H4*32</f>
        <v>28</v>
      </c>
      <c r="J4" s="7" t="s">
        <v>58</v>
      </c>
    </row>
    <row r="5" spans="1:10" x14ac:dyDescent="0.25">
      <c r="A5" t="s">
        <v>61</v>
      </c>
      <c r="B5" s="7">
        <f t="shared" si="0"/>
        <v>44</v>
      </c>
      <c r="C5" s="7">
        <v>3</v>
      </c>
      <c r="D5" s="7">
        <f>C5*2+2</f>
        <v>8</v>
      </c>
      <c r="E5" s="7">
        <v>0</v>
      </c>
      <c r="F5" s="7">
        <v>0</v>
      </c>
      <c r="G5" s="7">
        <v>0</v>
      </c>
      <c r="H5" s="7">
        <v>0</v>
      </c>
      <c r="I5" s="7">
        <f t="shared" si="1"/>
        <v>44</v>
      </c>
      <c r="J5" s="7" t="s">
        <v>58</v>
      </c>
    </row>
    <row r="6" spans="1:10" x14ac:dyDescent="0.25">
      <c r="A6" t="s">
        <v>62</v>
      </c>
      <c r="B6" s="7">
        <f t="shared" si="0"/>
        <v>42</v>
      </c>
      <c r="C6" s="7">
        <v>3</v>
      </c>
      <c r="D6" s="7">
        <f>C6*2</f>
        <v>6</v>
      </c>
      <c r="E6" s="7">
        <v>0</v>
      </c>
      <c r="F6" s="7">
        <v>0</v>
      </c>
      <c r="G6" s="7">
        <v>0</v>
      </c>
      <c r="H6" s="7">
        <v>0</v>
      </c>
      <c r="I6" s="7">
        <f t="shared" si="1"/>
        <v>42</v>
      </c>
      <c r="J6" s="7" t="s">
        <v>8</v>
      </c>
    </row>
    <row r="7" spans="1:10" x14ac:dyDescent="0.25">
      <c r="A7" t="s">
        <v>36</v>
      </c>
      <c r="B7" s="7">
        <f t="shared" si="0"/>
        <v>58</v>
      </c>
      <c r="C7" s="7">
        <v>4</v>
      </c>
      <c r="D7" s="7">
        <f>C7*2+2</f>
        <v>10</v>
      </c>
      <c r="E7" s="7">
        <v>0</v>
      </c>
      <c r="F7" s="7">
        <v>0</v>
      </c>
      <c r="G7" s="7">
        <v>0</v>
      </c>
      <c r="H7" s="7">
        <v>0</v>
      </c>
      <c r="I7" s="7">
        <f t="shared" si="1"/>
        <v>58</v>
      </c>
      <c r="J7" s="7" t="s">
        <v>8</v>
      </c>
    </row>
    <row r="8" spans="1:10" x14ac:dyDescent="0.25">
      <c r="A8" t="s">
        <v>37</v>
      </c>
      <c r="B8" s="7">
        <f t="shared" si="0"/>
        <v>56</v>
      </c>
      <c r="C8" s="7">
        <v>4</v>
      </c>
      <c r="D8" s="7">
        <f>C8*2</f>
        <v>8</v>
      </c>
      <c r="E8" s="7">
        <v>0</v>
      </c>
      <c r="F8" s="7">
        <v>0</v>
      </c>
      <c r="G8" s="7">
        <v>0</v>
      </c>
      <c r="H8" s="7">
        <v>0</v>
      </c>
      <c r="I8" s="7">
        <f t="shared" si="1"/>
        <v>56</v>
      </c>
      <c r="J8" s="7" t="s">
        <v>58</v>
      </c>
    </row>
    <row r="9" spans="1:10" x14ac:dyDescent="0.25">
      <c r="A9" t="s">
        <v>63</v>
      </c>
      <c r="B9" s="7">
        <f t="shared" si="0"/>
        <v>54</v>
      </c>
      <c r="C9" s="7">
        <v>4</v>
      </c>
      <c r="D9" s="7">
        <f>C9*2-2</f>
        <v>6</v>
      </c>
      <c r="E9" s="7">
        <v>0</v>
      </c>
      <c r="F9" s="7">
        <v>0</v>
      </c>
      <c r="G9" s="7">
        <v>0</v>
      </c>
      <c r="H9" s="7">
        <v>0</v>
      </c>
      <c r="I9" s="7">
        <f t="shared" si="1"/>
        <v>54</v>
      </c>
      <c r="J9" s="7" t="s">
        <v>58</v>
      </c>
    </row>
    <row r="10" spans="1:10" x14ac:dyDescent="0.25">
      <c r="A10" t="s">
        <v>64</v>
      </c>
      <c r="B10" s="7">
        <f t="shared" si="0"/>
        <v>72</v>
      </c>
      <c r="C10" s="7">
        <v>5</v>
      </c>
      <c r="D10" s="7">
        <f>C10*2+2</f>
        <v>12</v>
      </c>
      <c r="E10" s="7">
        <v>0</v>
      </c>
      <c r="F10" s="7">
        <v>0</v>
      </c>
      <c r="G10" s="7">
        <v>0</v>
      </c>
      <c r="H10" s="7">
        <v>0</v>
      </c>
      <c r="I10" s="7">
        <f t="shared" si="1"/>
        <v>72</v>
      </c>
      <c r="J10" s="7" t="s">
        <v>58</v>
      </c>
    </row>
    <row r="11" spans="1:10" x14ac:dyDescent="0.25">
      <c r="A11" t="s">
        <v>65</v>
      </c>
      <c r="B11" s="7">
        <f t="shared" si="0"/>
        <v>70</v>
      </c>
      <c r="C11" s="7">
        <v>5</v>
      </c>
      <c r="D11" s="7">
        <f>C11*2</f>
        <v>10</v>
      </c>
      <c r="E11" s="7">
        <v>0</v>
      </c>
      <c r="F11" s="7">
        <v>0</v>
      </c>
      <c r="G11" s="7">
        <v>0</v>
      </c>
      <c r="H11" s="7">
        <v>0</v>
      </c>
      <c r="I11" s="7">
        <f t="shared" si="1"/>
        <v>70</v>
      </c>
      <c r="J11" s="7" t="s">
        <v>58</v>
      </c>
    </row>
    <row r="12" spans="1:10" x14ac:dyDescent="0.25">
      <c r="A12" t="s">
        <v>66</v>
      </c>
      <c r="B12" s="7">
        <f t="shared" si="0"/>
        <v>68</v>
      </c>
      <c r="C12" s="7">
        <v>5</v>
      </c>
      <c r="D12" s="7">
        <f>C12*2-2</f>
        <v>8</v>
      </c>
      <c r="E12" s="7">
        <v>0</v>
      </c>
      <c r="F12" s="7">
        <v>0</v>
      </c>
      <c r="G12" s="7">
        <v>0</v>
      </c>
      <c r="H12" s="7">
        <v>0</v>
      </c>
      <c r="I12" s="7">
        <f t="shared" si="1"/>
        <v>68</v>
      </c>
      <c r="J12" s="7" t="s">
        <v>58</v>
      </c>
    </row>
    <row r="13" spans="1:10" x14ac:dyDescent="0.25">
      <c r="A13" t="s">
        <v>95</v>
      </c>
      <c r="B13" s="7">
        <f t="shared" si="0"/>
        <v>86</v>
      </c>
      <c r="C13" s="7">
        <v>6</v>
      </c>
      <c r="D13" s="7">
        <f>C13*2+2</f>
        <v>14</v>
      </c>
      <c r="E13" s="7">
        <v>0</v>
      </c>
      <c r="F13" s="7">
        <v>0</v>
      </c>
      <c r="G13" s="7">
        <v>0</v>
      </c>
      <c r="H13" s="7">
        <v>0</v>
      </c>
      <c r="I13" s="7">
        <f t="shared" si="1"/>
        <v>86</v>
      </c>
      <c r="J13" s="7" t="s">
        <v>58</v>
      </c>
    </row>
    <row r="14" spans="1:10" x14ac:dyDescent="0.25">
      <c r="A14" t="s">
        <v>97</v>
      </c>
      <c r="B14" s="7">
        <f t="shared" si="0"/>
        <v>84</v>
      </c>
      <c r="C14" s="7">
        <v>6</v>
      </c>
      <c r="D14" s="7">
        <f>C14*2</f>
        <v>12</v>
      </c>
      <c r="E14" s="7">
        <v>0</v>
      </c>
      <c r="F14" s="7">
        <v>0</v>
      </c>
      <c r="G14" s="7">
        <v>0</v>
      </c>
      <c r="H14" s="7">
        <v>0</v>
      </c>
      <c r="I14" s="7">
        <f t="shared" si="1"/>
        <v>84</v>
      </c>
      <c r="J14" s="7" t="s">
        <v>8</v>
      </c>
    </row>
    <row r="15" spans="1:10" x14ac:dyDescent="0.25">
      <c r="A15" t="s">
        <v>67</v>
      </c>
      <c r="B15" s="7">
        <f t="shared" si="0"/>
        <v>78</v>
      </c>
      <c r="C15" s="7">
        <v>6</v>
      </c>
      <c r="D15" s="7">
        <v>6</v>
      </c>
      <c r="E15" s="7">
        <v>0</v>
      </c>
      <c r="F15" s="7">
        <v>0</v>
      </c>
      <c r="G15" s="7">
        <v>0</v>
      </c>
      <c r="H15" s="7">
        <v>0</v>
      </c>
      <c r="I15" s="7">
        <f t="shared" si="1"/>
        <v>78</v>
      </c>
      <c r="J15" s="7" t="s">
        <v>8</v>
      </c>
    </row>
    <row r="16" spans="1:10" x14ac:dyDescent="0.25">
      <c r="A16" t="s">
        <v>68</v>
      </c>
      <c r="B16" s="7">
        <f t="shared" si="0"/>
        <v>92</v>
      </c>
      <c r="C16" s="7">
        <v>7</v>
      </c>
      <c r="D16" s="7">
        <v>8</v>
      </c>
      <c r="E16" s="7">
        <v>0</v>
      </c>
      <c r="F16" s="7">
        <v>0</v>
      </c>
      <c r="G16" s="7">
        <v>0</v>
      </c>
      <c r="H16" s="7">
        <v>0</v>
      </c>
      <c r="I16" s="7">
        <f t="shared" si="1"/>
        <v>92</v>
      </c>
      <c r="J16" s="7" t="s">
        <v>8</v>
      </c>
    </row>
    <row r="17" spans="1:10" x14ac:dyDescent="0.25">
      <c r="A17" t="s">
        <v>69</v>
      </c>
      <c r="B17" s="7">
        <f t="shared" si="0"/>
        <v>106</v>
      </c>
      <c r="C17" s="7">
        <v>8</v>
      </c>
      <c r="D17" s="7">
        <v>10</v>
      </c>
      <c r="E17" s="7">
        <v>0</v>
      </c>
      <c r="F17" s="7">
        <v>0</v>
      </c>
      <c r="G17" s="7">
        <v>0</v>
      </c>
      <c r="H17" s="7">
        <v>0</v>
      </c>
      <c r="I17" s="7">
        <f t="shared" si="1"/>
        <v>106</v>
      </c>
      <c r="J17" s="7" t="s">
        <v>8</v>
      </c>
    </row>
    <row r="18" spans="1:10" x14ac:dyDescent="0.25">
      <c r="A18" t="s">
        <v>70</v>
      </c>
      <c r="B18" s="7">
        <f t="shared" si="0"/>
        <v>106</v>
      </c>
      <c r="C18" s="7">
        <v>8</v>
      </c>
      <c r="D18" s="7">
        <v>10</v>
      </c>
      <c r="E18" s="7">
        <v>0</v>
      </c>
      <c r="F18" s="7">
        <v>0</v>
      </c>
      <c r="G18" s="7">
        <v>0</v>
      </c>
      <c r="H18" s="7">
        <v>0</v>
      </c>
      <c r="I18" s="7">
        <f t="shared" si="1"/>
        <v>106</v>
      </c>
      <c r="J18" s="7" t="s">
        <v>8</v>
      </c>
    </row>
    <row r="19" spans="1:10" x14ac:dyDescent="0.25">
      <c r="A19" t="s">
        <v>71</v>
      </c>
      <c r="B19" s="7">
        <f t="shared" si="0"/>
        <v>32</v>
      </c>
      <c r="C19" s="7">
        <v>1</v>
      </c>
      <c r="D19" s="7">
        <v>4</v>
      </c>
      <c r="E19" s="7">
        <v>1</v>
      </c>
      <c r="F19" s="7">
        <v>0</v>
      </c>
      <c r="G19" s="7">
        <v>0</v>
      </c>
      <c r="H19" s="7">
        <v>0</v>
      </c>
      <c r="I19" s="7">
        <f t="shared" si="1"/>
        <v>32</v>
      </c>
      <c r="J19" s="7" t="s">
        <v>8</v>
      </c>
    </row>
    <row r="20" spans="1:10" x14ac:dyDescent="0.25">
      <c r="A20" t="s">
        <v>72</v>
      </c>
      <c r="B20" s="7">
        <f t="shared" si="0"/>
        <v>46</v>
      </c>
      <c r="C20" s="7">
        <v>2</v>
      </c>
      <c r="D20" s="7">
        <v>6</v>
      </c>
      <c r="E20" s="7">
        <v>1</v>
      </c>
      <c r="F20" s="7">
        <v>0</v>
      </c>
      <c r="G20" s="7">
        <v>0</v>
      </c>
      <c r="H20" s="7">
        <v>0</v>
      </c>
      <c r="I20" s="7">
        <f t="shared" si="1"/>
        <v>46</v>
      </c>
      <c r="J20" s="7" t="s">
        <v>8</v>
      </c>
    </row>
    <row r="21" spans="1:10" x14ac:dyDescent="0.25">
      <c r="A21" t="s">
        <v>73</v>
      </c>
      <c r="B21" s="7">
        <f t="shared" si="0"/>
        <v>30</v>
      </c>
      <c r="C21" s="7">
        <v>1</v>
      </c>
      <c r="D21" s="7">
        <v>2</v>
      </c>
      <c r="E21" s="7">
        <v>1</v>
      </c>
      <c r="F21" s="7">
        <v>0</v>
      </c>
      <c r="G21" s="7">
        <v>0</v>
      </c>
      <c r="H21" s="7">
        <v>0</v>
      </c>
      <c r="I21" s="7">
        <f t="shared" si="1"/>
        <v>30</v>
      </c>
      <c r="J21" s="7" t="s">
        <v>8</v>
      </c>
    </row>
    <row r="22" spans="1:10" x14ac:dyDescent="0.25">
      <c r="A22" t="s">
        <v>74</v>
      </c>
      <c r="B22" s="7">
        <f t="shared" si="0"/>
        <v>44</v>
      </c>
      <c r="C22" s="7">
        <v>2</v>
      </c>
      <c r="D22" s="7">
        <v>4</v>
      </c>
      <c r="E22" s="7">
        <v>1</v>
      </c>
      <c r="F22" s="7">
        <v>0</v>
      </c>
      <c r="G22" s="7">
        <v>0</v>
      </c>
      <c r="H22" s="7">
        <v>0</v>
      </c>
      <c r="I22" s="7">
        <f t="shared" si="1"/>
        <v>44</v>
      </c>
      <c r="J22" s="7" t="s">
        <v>8</v>
      </c>
    </row>
    <row r="23" spans="1:10" x14ac:dyDescent="0.25">
      <c r="A23" t="s">
        <v>75</v>
      </c>
      <c r="B23" s="7">
        <f t="shared" si="0"/>
        <v>60</v>
      </c>
      <c r="C23" s="7">
        <v>2</v>
      </c>
      <c r="D23" s="7">
        <v>4</v>
      </c>
      <c r="E23" s="7">
        <v>2</v>
      </c>
      <c r="F23" s="7">
        <v>0</v>
      </c>
      <c r="G23" s="7">
        <v>0</v>
      </c>
      <c r="H23" s="7">
        <v>0</v>
      </c>
      <c r="I23" s="7">
        <f t="shared" si="1"/>
        <v>60</v>
      </c>
      <c r="J23" s="7" t="s">
        <v>8</v>
      </c>
    </row>
    <row r="24" spans="1:10" x14ac:dyDescent="0.25">
      <c r="A24" t="s">
        <v>76</v>
      </c>
      <c r="B24" s="7">
        <f t="shared" si="0"/>
        <v>88</v>
      </c>
      <c r="C24" s="7">
        <v>4</v>
      </c>
      <c r="D24" s="7">
        <v>8</v>
      </c>
      <c r="E24" s="7">
        <v>2</v>
      </c>
      <c r="F24" s="7">
        <v>0</v>
      </c>
      <c r="G24" s="7">
        <v>0</v>
      </c>
      <c r="H24" s="7">
        <v>0</v>
      </c>
      <c r="I24" s="7">
        <f t="shared" si="1"/>
        <v>88</v>
      </c>
      <c r="J24" s="7" t="s">
        <v>8</v>
      </c>
    </row>
    <row r="25" spans="1:10" x14ac:dyDescent="0.25">
      <c r="A25" t="s">
        <v>77</v>
      </c>
      <c r="B25" s="7">
        <f t="shared" si="0"/>
        <v>50</v>
      </c>
      <c r="C25" s="7">
        <v>1</v>
      </c>
      <c r="D25" s="7">
        <v>3</v>
      </c>
      <c r="E25" s="7">
        <v>0</v>
      </c>
      <c r="F25" s="7">
        <v>0</v>
      </c>
      <c r="G25" s="7">
        <v>1</v>
      </c>
      <c r="H25" s="7">
        <v>0</v>
      </c>
      <c r="I25" s="7">
        <f t="shared" si="1"/>
        <v>50</v>
      </c>
      <c r="J25" s="7" t="s">
        <v>8</v>
      </c>
    </row>
    <row r="26" spans="1:10" x14ac:dyDescent="0.25">
      <c r="A26" t="s">
        <v>78</v>
      </c>
      <c r="B26" s="7">
        <f t="shared" si="0"/>
        <v>64</v>
      </c>
      <c r="C26" s="7">
        <v>2</v>
      </c>
      <c r="D26" s="7">
        <v>5</v>
      </c>
      <c r="E26" s="7">
        <v>0</v>
      </c>
      <c r="F26" s="7">
        <v>0</v>
      </c>
      <c r="G26" s="7">
        <v>1</v>
      </c>
      <c r="H26" s="7">
        <v>0</v>
      </c>
      <c r="I26" s="7">
        <f t="shared" si="1"/>
        <v>64</v>
      </c>
      <c r="J26" s="7" t="s">
        <v>8</v>
      </c>
    </row>
    <row r="27" spans="1:10" x14ac:dyDescent="0.25">
      <c r="A27" t="s">
        <v>79</v>
      </c>
      <c r="B27" s="7">
        <f t="shared" si="0"/>
        <v>78</v>
      </c>
      <c r="C27" s="7">
        <v>3</v>
      </c>
      <c r="D27" s="7">
        <v>7</v>
      </c>
      <c r="E27" s="7">
        <v>0</v>
      </c>
      <c r="F27" s="7">
        <v>0</v>
      </c>
      <c r="G27" s="7">
        <v>1</v>
      </c>
      <c r="H27" s="7">
        <v>0</v>
      </c>
      <c r="I27" s="7">
        <f t="shared" si="1"/>
        <v>78</v>
      </c>
      <c r="J27" s="7" t="s">
        <v>8</v>
      </c>
    </row>
    <row r="28" spans="1:10" x14ac:dyDescent="0.25">
      <c r="A28" t="s">
        <v>80</v>
      </c>
      <c r="B28" s="7">
        <f t="shared" si="0"/>
        <v>62</v>
      </c>
      <c r="C28" s="7">
        <v>2</v>
      </c>
      <c r="D28" s="7">
        <v>3</v>
      </c>
      <c r="E28" s="7">
        <v>0</v>
      </c>
      <c r="F28" s="7">
        <v>0</v>
      </c>
      <c r="G28" s="7">
        <v>1</v>
      </c>
      <c r="H28" s="7">
        <v>0</v>
      </c>
      <c r="I28" s="7">
        <f t="shared" si="1"/>
        <v>62</v>
      </c>
      <c r="J28" s="7" t="s">
        <v>8</v>
      </c>
    </row>
    <row r="29" spans="1:10" x14ac:dyDescent="0.25">
      <c r="A29" t="s">
        <v>81</v>
      </c>
      <c r="B29" s="7">
        <f t="shared" si="0"/>
        <v>104</v>
      </c>
      <c r="C29" s="7">
        <v>8</v>
      </c>
      <c r="D29" s="7">
        <v>8</v>
      </c>
      <c r="E29" s="7">
        <v>0</v>
      </c>
      <c r="F29" s="7">
        <v>0</v>
      </c>
      <c r="G29" s="7">
        <v>0</v>
      </c>
      <c r="H29" s="7">
        <v>0</v>
      </c>
      <c r="I29" s="7">
        <f t="shared" si="1"/>
        <v>104</v>
      </c>
      <c r="J29" s="7" t="s">
        <v>8</v>
      </c>
    </row>
    <row r="30" spans="1:10" x14ac:dyDescent="0.25">
      <c r="A30" t="s">
        <v>82</v>
      </c>
      <c r="B30" s="7">
        <f t="shared" si="0"/>
        <v>68</v>
      </c>
      <c r="C30" s="7">
        <v>4</v>
      </c>
      <c r="D30" s="7">
        <v>6</v>
      </c>
      <c r="E30" s="7">
        <v>0</v>
      </c>
      <c r="F30" s="7">
        <v>1</v>
      </c>
      <c r="G30" s="7">
        <v>0</v>
      </c>
      <c r="H30" s="7">
        <v>0</v>
      </c>
      <c r="I30" s="7">
        <f t="shared" si="1"/>
        <v>68</v>
      </c>
      <c r="J30" s="7" t="s">
        <v>8</v>
      </c>
    </row>
    <row r="31" spans="1:10" x14ac:dyDescent="0.25">
      <c r="A31" t="s">
        <v>83</v>
      </c>
      <c r="B31" s="7">
        <f t="shared" si="0"/>
        <v>60</v>
      </c>
      <c r="C31" s="7">
        <v>2</v>
      </c>
      <c r="D31" s="7">
        <v>4</v>
      </c>
      <c r="E31" s="7">
        <v>2</v>
      </c>
      <c r="F31" s="7">
        <v>0</v>
      </c>
      <c r="G31" s="7">
        <v>0</v>
      </c>
      <c r="H31" s="7">
        <v>0</v>
      </c>
      <c r="I31" s="7">
        <f t="shared" si="1"/>
        <v>60</v>
      </c>
      <c r="J31" s="7" t="s">
        <v>8</v>
      </c>
    </row>
    <row r="32" spans="1:10" x14ac:dyDescent="0.25">
      <c r="A32" t="s">
        <v>84</v>
      </c>
      <c r="B32" s="7">
        <f t="shared" si="0"/>
        <v>88</v>
      </c>
      <c r="C32" s="7">
        <v>5</v>
      </c>
      <c r="D32" s="7">
        <v>12</v>
      </c>
      <c r="E32" s="7">
        <v>1</v>
      </c>
      <c r="F32" s="7">
        <v>0</v>
      </c>
      <c r="G32" s="7">
        <v>0</v>
      </c>
      <c r="H32" s="7">
        <v>0</v>
      </c>
      <c r="I32" s="7">
        <f t="shared" si="1"/>
        <v>88</v>
      </c>
      <c r="J32" s="7" t="s">
        <v>8</v>
      </c>
    </row>
    <row r="33" spans="1:10" x14ac:dyDescent="0.25">
      <c r="A33" t="s">
        <v>85</v>
      </c>
      <c r="B33" s="7">
        <f t="shared" si="0"/>
        <v>27</v>
      </c>
      <c r="C33" s="7">
        <v>1</v>
      </c>
      <c r="D33" s="7">
        <v>1</v>
      </c>
      <c r="E33" s="7">
        <v>0</v>
      </c>
      <c r="F33" s="7">
        <v>1</v>
      </c>
      <c r="G33" s="7">
        <v>0</v>
      </c>
      <c r="H33" s="7">
        <v>0</v>
      </c>
      <c r="I33" s="7">
        <f t="shared" si="1"/>
        <v>27</v>
      </c>
      <c r="J33" s="7" t="s">
        <v>8</v>
      </c>
    </row>
    <row r="34" spans="1:10" x14ac:dyDescent="0.25">
      <c r="A34" t="s">
        <v>86</v>
      </c>
      <c r="B34" s="7">
        <f t="shared" si="0"/>
        <v>2</v>
      </c>
      <c r="C34" s="7">
        <v>0</v>
      </c>
      <c r="D34" s="7">
        <v>2</v>
      </c>
      <c r="E34" s="7">
        <v>0</v>
      </c>
      <c r="F34" s="7">
        <v>0</v>
      </c>
      <c r="G34" s="7">
        <v>0</v>
      </c>
      <c r="H34" s="7">
        <v>0</v>
      </c>
      <c r="I34" s="7">
        <f t="shared" si="1"/>
        <v>2</v>
      </c>
      <c r="J34" s="7" t="s">
        <v>87</v>
      </c>
    </row>
    <row r="35" spans="1:10" x14ac:dyDescent="0.25">
      <c r="A35" t="s">
        <v>88</v>
      </c>
      <c r="B35" s="7">
        <f t="shared" si="0"/>
        <v>34</v>
      </c>
      <c r="C35" s="7">
        <v>0</v>
      </c>
      <c r="D35" s="7">
        <v>2</v>
      </c>
      <c r="E35" s="7">
        <v>0</v>
      </c>
      <c r="F35" s="7">
        <v>0</v>
      </c>
      <c r="G35" s="7">
        <v>0</v>
      </c>
      <c r="H35" s="7">
        <v>1</v>
      </c>
      <c r="I35" s="7">
        <f t="shared" si="1"/>
        <v>34</v>
      </c>
      <c r="J35" s="7" t="s">
        <v>87</v>
      </c>
    </row>
    <row r="36" spans="1:10" x14ac:dyDescent="0.25">
      <c r="A36" t="s">
        <v>89</v>
      </c>
      <c r="B36" s="7">
        <f t="shared" si="0"/>
        <v>28</v>
      </c>
      <c r="C36" s="7">
        <v>1</v>
      </c>
      <c r="D36" s="7">
        <v>0</v>
      </c>
      <c r="E36" s="7">
        <v>1</v>
      </c>
      <c r="F36" s="7">
        <v>0</v>
      </c>
      <c r="G36" s="7">
        <v>0</v>
      </c>
      <c r="H36" s="7">
        <v>0</v>
      </c>
      <c r="I36" s="7">
        <f t="shared" si="1"/>
        <v>28</v>
      </c>
      <c r="J36" s="7" t="s">
        <v>90</v>
      </c>
    </row>
    <row r="37" spans="1:10" x14ac:dyDescent="0.25">
      <c r="A37" t="s">
        <v>91</v>
      </c>
      <c r="B37" s="7">
        <f t="shared" si="0"/>
        <v>44</v>
      </c>
      <c r="C37" s="7">
        <v>1</v>
      </c>
      <c r="D37" s="7">
        <v>0</v>
      </c>
      <c r="E37" s="7">
        <v>2</v>
      </c>
      <c r="F37" s="7">
        <v>0</v>
      </c>
      <c r="G37" s="7">
        <v>0</v>
      </c>
      <c r="H37" s="7">
        <v>0</v>
      </c>
      <c r="I37" s="7">
        <f t="shared" si="1"/>
        <v>44</v>
      </c>
      <c r="J37" s="7" t="s">
        <v>90</v>
      </c>
    </row>
    <row r="38" spans="1:10" x14ac:dyDescent="0.25">
      <c r="A38" t="s">
        <v>92</v>
      </c>
      <c r="B38" s="7">
        <f t="shared" si="0"/>
        <v>32</v>
      </c>
      <c r="C38" s="7">
        <v>0</v>
      </c>
      <c r="D38" s="7">
        <v>0</v>
      </c>
      <c r="E38" s="7">
        <v>2</v>
      </c>
      <c r="F38" s="7">
        <v>0</v>
      </c>
      <c r="G38" s="7">
        <v>0</v>
      </c>
      <c r="H38" s="7">
        <v>0</v>
      </c>
      <c r="I38" s="7">
        <f t="shared" si="1"/>
        <v>32</v>
      </c>
      <c r="J38" s="7" t="s">
        <v>90</v>
      </c>
    </row>
    <row r="39" spans="1:10" x14ac:dyDescent="0.25">
      <c r="A39" t="s">
        <v>38</v>
      </c>
      <c r="B39" s="7">
        <f t="shared" si="0"/>
        <v>28</v>
      </c>
      <c r="C39" s="7">
        <v>0</v>
      </c>
      <c r="D39" s="7">
        <v>0</v>
      </c>
      <c r="E39" s="7">
        <v>0</v>
      </c>
      <c r="F39" s="7">
        <v>2</v>
      </c>
      <c r="G39" s="7">
        <v>0</v>
      </c>
      <c r="H39" s="7">
        <v>0</v>
      </c>
      <c r="I39" s="7">
        <f t="shared" si="1"/>
        <v>28</v>
      </c>
      <c r="J39" s="7" t="s">
        <v>90</v>
      </c>
    </row>
    <row r="40" spans="1:10" x14ac:dyDescent="0.25">
      <c r="A40" t="s">
        <v>108</v>
      </c>
      <c r="B40" s="7">
        <v>90</v>
      </c>
      <c r="J40" s="7" t="s">
        <v>8</v>
      </c>
    </row>
  </sheetData>
  <phoneticPr fontId="1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4"/>
  <sheetViews>
    <sheetView workbookViewId="0">
      <selection activeCell="E20" sqref="E20"/>
    </sheetView>
  </sheetViews>
  <sheetFormatPr defaultRowHeight="14.4" x14ac:dyDescent="0.25"/>
  <cols>
    <col min="1" max="1" width="13.77734375" customWidth="1"/>
    <col min="2" max="2" width="20.77734375" customWidth="1"/>
    <col min="3" max="3" width="20.33203125" customWidth="1"/>
    <col min="4" max="4" width="15.21875" customWidth="1"/>
    <col min="6" max="6" width="13.5546875" customWidth="1"/>
    <col min="7" max="7" width="14.44140625" style="7" customWidth="1"/>
    <col min="8" max="8" width="20.33203125" customWidth="1"/>
  </cols>
  <sheetData>
    <row r="1" spans="1:8" x14ac:dyDescent="0.25">
      <c r="A1" s="8" t="s">
        <v>20</v>
      </c>
      <c r="B1" s="8" t="s">
        <v>21</v>
      </c>
      <c r="D1" s="4"/>
      <c r="F1" s="4"/>
      <c r="G1" s="6"/>
      <c r="H1" s="4"/>
    </row>
    <row r="2" spans="1:8" x14ac:dyDescent="0.25">
      <c r="A2" s="9" t="s">
        <v>18</v>
      </c>
      <c r="B2" s="10">
        <v>0.4</v>
      </c>
    </row>
    <row r="3" spans="1:8" x14ac:dyDescent="0.25">
      <c r="A3" s="9" t="s">
        <v>34</v>
      </c>
      <c r="B3" s="10">
        <v>0.2</v>
      </c>
    </row>
    <row r="4" spans="1:8" x14ac:dyDescent="0.25">
      <c r="A4" s="9" t="s">
        <v>128</v>
      </c>
      <c r="B4" s="10">
        <v>0.1</v>
      </c>
    </row>
    <row r="5" spans="1:8" x14ac:dyDescent="0.25">
      <c r="B5" s="7"/>
    </row>
    <row r="6" spans="1:8" x14ac:dyDescent="0.25">
      <c r="B6" s="7"/>
    </row>
    <row r="7" spans="1:8" x14ac:dyDescent="0.25">
      <c r="B7" s="7"/>
    </row>
    <row r="8" spans="1:8" x14ac:dyDescent="0.25">
      <c r="A8" s="8" t="s">
        <v>20</v>
      </c>
      <c r="B8" s="11" t="s">
        <v>33</v>
      </c>
      <c r="C8" s="8" t="s">
        <v>32</v>
      </c>
    </row>
    <row r="9" spans="1:8" x14ac:dyDescent="0.25">
      <c r="A9" s="9" t="s">
        <v>18</v>
      </c>
      <c r="B9" s="12" t="s">
        <v>40</v>
      </c>
      <c r="C9" s="13">
        <v>0.01</v>
      </c>
    </row>
    <row r="10" spans="1:8" x14ac:dyDescent="0.25">
      <c r="A10" s="9" t="s">
        <v>18</v>
      </c>
      <c r="B10" s="12" t="s">
        <v>41</v>
      </c>
      <c r="C10" s="13">
        <v>5.0000000000000001E-3</v>
      </c>
    </row>
    <row r="11" spans="1:8" x14ac:dyDescent="0.25">
      <c r="A11" s="9" t="s">
        <v>19</v>
      </c>
      <c r="B11" s="12" t="s">
        <v>40</v>
      </c>
      <c r="C11" s="13">
        <v>5.0000000000000001E-3</v>
      </c>
    </row>
    <row r="12" spans="1:8" x14ac:dyDescent="0.25">
      <c r="A12" s="9" t="s">
        <v>19</v>
      </c>
      <c r="B12" s="12" t="s">
        <v>41</v>
      </c>
      <c r="C12" s="13">
        <v>3.0000000000000001E-3</v>
      </c>
      <c r="D12" s="7"/>
    </row>
    <row r="13" spans="1:8" x14ac:dyDescent="0.25">
      <c r="A13" s="9" t="s">
        <v>129</v>
      </c>
      <c r="B13" s="12" t="s">
        <v>130</v>
      </c>
      <c r="C13" s="13">
        <v>3.0000000000000001E-3</v>
      </c>
    </row>
    <row r="14" spans="1:8" x14ac:dyDescent="0.25">
      <c r="A14" s="9" t="s">
        <v>129</v>
      </c>
      <c r="B14" s="12" t="s">
        <v>131</v>
      </c>
      <c r="C14" s="13">
        <v>1E-3</v>
      </c>
    </row>
  </sheetData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7</vt:i4>
      </vt:variant>
    </vt:vector>
  </HeadingPairs>
  <TitlesOfParts>
    <vt:vector size="7" baseType="lpstr">
      <vt:lpstr>使用说明</vt:lpstr>
      <vt:lpstr>气体容器排放数据表</vt:lpstr>
      <vt:lpstr>液体容器排放数据表</vt:lpstr>
      <vt:lpstr>两相容器排放数据表</vt:lpstr>
      <vt:lpstr>排放物料组成计算</vt:lpstr>
      <vt:lpstr>常用物质的分子量</vt:lpstr>
      <vt:lpstr>相关系数取值</vt:lpstr>
    </vt:vector>
  </TitlesOfParts>
  <Company>LPEC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jiaping</dc:creator>
  <cp:lastModifiedBy>jiaping</cp:lastModifiedBy>
  <dcterms:created xsi:type="dcterms:W3CDTF">2015-01-21T01:20:42Z</dcterms:created>
  <dcterms:modified xsi:type="dcterms:W3CDTF">2015-11-03T02:05:06Z</dcterms:modified>
</cp:coreProperties>
</file>