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showInkAnnotation="0" codeName="ThisWorkbook" defaultThemeVersion="124226"/>
  <workbookProtection lockStructure="1"/>
  <bookViews>
    <workbookView xWindow="240" yWindow="315" windowWidth="11280" windowHeight="6300" activeTab="3"/>
  </bookViews>
  <sheets>
    <sheet name="使用说明" sheetId="8" r:id="rId1"/>
    <sheet name="数据收集" sheetId="7" state="hidden" r:id="rId2"/>
    <sheet name="排放量计算表" sheetId="9" state="hidden" r:id="rId3"/>
    <sheet name="数据计算" sheetId="6" r:id="rId4"/>
    <sheet name="2级方法" sheetId="1" state="hidden" r:id="rId5"/>
    <sheet name="3级方法" sheetId="2" state="hidden" r:id="rId6"/>
    <sheet name="4级方法" sheetId="4" state="hidden" r:id="rId7"/>
    <sheet name="5级方法" sheetId="5" state="hidden" r:id="rId8"/>
    <sheet name="基础数据" sheetId="3" state="hidden" r:id="rId9"/>
  </sheets>
  <definedNames>
    <definedName name="_xlnm._FilterDatabase" localSheetId="3" hidden="1">数据计算!$A$3:$S$12</definedName>
    <definedName name="二级参数">基础数据!$A$3:$I$22</definedName>
    <definedName name="二级石油化工">基础数据!$M$6:$M$14</definedName>
    <definedName name="二级石油化工泵">基础数据!$D$14:$D$15</definedName>
    <definedName name="二级石油化工阀门">基础数据!$D$12:$D$13</definedName>
    <definedName name="二级石油化工法兰">基础数据!$D$19</definedName>
    <definedName name="二级石油化工搅拌器">基础数据!$D$16</definedName>
    <definedName name="二级石油化工开口阀或开口管线">基础数据!$D$21</definedName>
    <definedName name="二级石油化工连接件">基础数据!$D$20</definedName>
    <definedName name="二级石油化工其他">基础数据!$D$22</definedName>
    <definedName name="二级石油化工泄压设备">基础数据!$D$18</definedName>
    <definedName name="二级石油化工压缩机">基础数据!$D$17</definedName>
    <definedName name="二级石油炼制">基础数据!$L$6:$L$14</definedName>
    <definedName name="二级石油炼制泵">基础数据!$D$4</definedName>
    <definedName name="二级石油炼制阀门">基础数据!$D$3</definedName>
    <definedName name="二级石油炼制法兰">基础数据!$D$9</definedName>
    <definedName name="二级石油炼制搅拌器">基础数据!$D$5</definedName>
    <definedName name="二级石油炼制开口阀或开口管线">基础数据!$D$10</definedName>
    <definedName name="二级石油炼制连接件">基础数据!$D$8</definedName>
    <definedName name="二级石油炼制其他">基础数据!$P$10</definedName>
    <definedName name="二级石油炼制泄压设备">基础数据!$D$7</definedName>
    <definedName name="二级石油炼制压缩机">基础数据!$D$6</definedName>
    <definedName name="方法等级">基础数据!$P$6:$P$9</definedName>
    <definedName name="核算方法">基础数据!$O$6:$O$9</definedName>
    <definedName name="三级泵">基础数据!$L$29:$M$29</definedName>
    <definedName name="三级参数">基础数据!$A$28:$F$51</definedName>
    <definedName name="三级阀">基础数据!$L$28:$N$28</definedName>
    <definedName name="三级法兰">基础数据!$L$33</definedName>
    <definedName name="三级搅拌器">基础数据!$L$30:$M$30</definedName>
    <definedName name="三级开口管线">基础数据!$L$35</definedName>
    <definedName name="三级连接件">基础数据!$L$34</definedName>
    <definedName name="三级设备">基础数据!$K$33:$K$34</definedName>
    <definedName name="三级泄压设备">基础数据!$L$32</definedName>
    <definedName name="三级压缩机">基础数据!$L$31</definedName>
    <definedName name="实测">基础数据!$P$10</definedName>
    <definedName name="四级泵">基础数据!$I$55:$J$55</definedName>
    <definedName name="四级阀门">基础数据!$I$54:$K$54</definedName>
    <definedName name="四级法兰">基础数据!$I$59</definedName>
    <definedName name="四级搅拌机密封">基础数据!$I$56:$I$56</definedName>
    <definedName name="四级开口阀或开口管线">基础数据!$I$61</definedName>
    <definedName name="四级连接件">基础数据!$I$60</definedName>
    <definedName name="四级其他">基础数据!$I$63</definedName>
    <definedName name="四级取样连接系统">基础数据!$I$62</definedName>
    <definedName name="四级设备">基础数据!$H$54:$H$63</definedName>
    <definedName name="四级泄压设备">基础数据!$I$58</definedName>
    <definedName name="四级压缩机">基础数据!$I$57</definedName>
  </definedNames>
  <calcPr calcId="144525"/>
</workbook>
</file>

<file path=xl/calcChain.xml><?xml version="1.0" encoding="utf-8"?>
<calcChain xmlns="http://schemas.openxmlformats.org/spreadsheetml/2006/main">
  <c r="K10" i="6" l="1"/>
  <c r="N10" i="6" a="1"/>
  <c r="N10" i="6" s="1"/>
  <c r="O10" i="6" a="1"/>
  <c r="O10" i="6" s="1"/>
  <c r="P10" i="6" a="1"/>
  <c r="P10" i="6" s="1"/>
  <c r="Q10" i="6" a="1"/>
  <c r="Q10" i="6" s="1"/>
  <c r="U10" i="6" s="1"/>
  <c r="S10" i="6" a="1"/>
  <c r="S10" i="6" s="1"/>
  <c r="V10" i="6"/>
  <c r="Y10" i="6"/>
  <c r="AB10" i="6" a="1"/>
  <c r="AB10" i="6" s="1"/>
  <c r="AC10" i="6" a="1"/>
  <c r="AC10" i="6" s="1"/>
  <c r="AD10" i="6" a="1"/>
  <c r="AD10" i="6" s="1"/>
  <c r="AE10" i="6" a="1"/>
  <c r="AE10" i="6" s="1"/>
  <c r="AI10" i="6" s="1"/>
  <c r="AK10" i="6" s="1"/>
  <c r="AG10" i="6" a="1"/>
  <c r="AG10" i="6" s="1"/>
  <c r="AJ10" i="6"/>
  <c r="AM10" i="6"/>
  <c r="AP10" i="6" a="1"/>
  <c r="AP10" i="6" s="1"/>
  <c r="AQ10" i="6" a="1"/>
  <c r="AQ10" i="6" s="1"/>
  <c r="AR10" i="6" a="1"/>
  <c r="AR10" i="6" s="1"/>
  <c r="AS10" i="6" a="1"/>
  <c r="AS10" i="6" s="1"/>
  <c r="AW10" i="6" s="1"/>
  <c r="AY10" i="6" s="1"/>
  <c r="AU10" i="6" a="1"/>
  <c r="AU10" i="6" s="1"/>
  <c r="AX10" i="6"/>
  <c r="BA10" i="6"/>
  <c r="BD10" i="6" a="1"/>
  <c r="BD10" i="6" s="1"/>
  <c r="BE10" i="6" a="1"/>
  <c r="BE10" i="6" s="1"/>
  <c r="BF10" i="6" a="1"/>
  <c r="BF10" i="6" s="1"/>
  <c r="BG10" i="6" a="1"/>
  <c r="BG10" i="6" s="1"/>
  <c r="BI10" i="6" a="1"/>
  <c r="BI10" i="6" s="1"/>
  <c r="BL10" i="6"/>
  <c r="BK10" i="6" l="1"/>
  <c r="BO10" i="6" s="1"/>
  <c r="W10" i="6"/>
  <c r="Y5" i="6"/>
  <c r="Y6" i="6"/>
  <c r="Y7" i="6"/>
  <c r="Y8" i="6"/>
  <c r="Y9" i="6"/>
  <c r="Y11" i="6"/>
  <c r="Y12" i="6"/>
  <c r="AI12" i="6" s="1"/>
  <c r="Y4" i="6"/>
  <c r="AM5" i="6"/>
  <c r="AM6" i="6"/>
  <c r="AM7" i="6"/>
  <c r="AM8" i="6"/>
  <c r="AM9" i="6"/>
  <c r="AM11" i="6"/>
  <c r="AM12" i="6"/>
  <c r="AM4" i="6"/>
  <c r="BA5" i="6"/>
  <c r="BA6" i="6"/>
  <c r="BA7" i="6"/>
  <c r="BA8" i="6"/>
  <c r="BD8" i="6" a="1"/>
  <c r="BD8" i="6" s="1"/>
  <c r="BE8" i="6" a="1"/>
  <c r="BE8" i="6" s="1"/>
  <c r="BF8" i="6" a="1"/>
  <c r="BF8" i="6" s="1"/>
  <c r="BG8" i="6" a="1"/>
  <c r="BG8" i="6" s="1"/>
  <c r="BI8" i="6" a="1"/>
  <c r="BI8" i="6" s="1"/>
  <c r="BA9" i="6"/>
  <c r="BK9" i="6" s="1"/>
  <c r="BD9" i="6" a="1"/>
  <c r="BD9" i="6" s="1"/>
  <c r="BE9" i="6" a="1"/>
  <c r="BE9" i="6" s="1"/>
  <c r="BF9" i="6" a="1"/>
  <c r="BF9" i="6" s="1"/>
  <c r="BG9" i="6" a="1"/>
  <c r="BG9" i="6" s="1"/>
  <c r="BI9" i="6" a="1"/>
  <c r="BI9" i="6" s="1"/>
  <c r="BA11" i="6"/>
  <c r="BD11" i="6" a="1"/>
  <c r="BD11" i="6" s="1"/>
  <c r="BE11" i="6" a="1"/>
  <c r="BE11" i="6" s="1"/>
  <c r="BF11" i="6" a="1"/>
  <c r="BF11" i="6" s="1"/>
  <c r="BG11" i="6" a="1"/>
  <c r="BG11" i="6" s="1"/>
  <c r="BI11" i="6" a="1"/>
  <c r="BI11" i="6" s="1"/>
  <c r="BA12" i="6"/>
  <c r="BD12" i="6" a="1"/>
  <c r="BD12" i="6" s="1"/>
  <c r="BE12" i="6" a="1"/>
  <c r="BE12" i="6" s="1"/>
  <c r="BF12" i="6" a="1"/>
  <c r="BF12" i="6" s="1"/>
  <c r="BG12" i="6" a="1"/>
  <c r="BG12" i="6" s="1"/>
  <c r="BI12" i="6" a="1"/>
  <c r="BI12" i="6" s="1"/>
  <c r="BA4" i="6"/>
  <c r="V5" i="6"/>
  <c r="AJ5" i="6"/>
  <c r="AX5" i="6"/>
  <c r="BL5" i="6"/>
  <c r="V6" i="6"/>
  <c r="AJ6" i="6"/>
  <c r="AX6" i="6"/>
  <c r="BL6" i="6"/>
  <c r="V7" i="6"/>
  <c r="AJ7" i="6"/>
  <c r="AX7" i="6"/>
  <c r="BL7" i="6"/>
  <c r="N8" i="6" a="1"/>
  <c r="N8" i="6" s="1"/>
  <c r="O8" i="6" a="1"/>
  <c r="O8" i="6" s="1"/>
  <c r="P8" i="6" a="1"/>
  <c r="P8" i="6" s="1"/>
  <c r="Q8" i="6" a="1"/>
  <c r="Q8" i="6" s="1"/>
  <c r="S8" i="6" a="1"/>
  <c r="S8" i="6" s="1"/>
  <c r="V8" i="6"/>
  <c r="AB8" i="6" a="1"/>
  <c r="AB8" i="6" s="1"/>
  <c r="AC8" i="6" a="1"/>
  <c r="AC8" i="6" s="1"/>
  <c r="AD8" i="6" a="1"/>
  <c r="AD8" i="6" s="1"/>
  <c r="AE8" i="6" a="1"/>
  <c r="AE8" i="6" s="1"/>
  <c r="AG8" i="6" a="1"/>
  <c r="AG8" i="6" s="1"/>
  <c r="AJ8" i="6"/>
  <c r="AP8" i="6" a="1"/>
  <c r="AP8" i="6" s="1"/>
  <c r="AQ8" i="6" a="1"/>
  <c r="AQ8" i="6" s="1"/>
  <c r="AR8" i="6" a="1"/>
  <c r="AR8" i="6" s="1"/>
  <c r="AS8" i="6" a="1"/>
  <c r="AS8" i="6" s="1"/>
  <c r="AU8" i="6" a="1"/>
  <c r="AU8" i="6" s="1"/>
  <c r="AX8" i="6"/>
  <c r="BL8" i="6"/>
  <c r="N9" i="6" a="1"/>
  <c r="N9" i="6" s="1"/>
  <c r="O9" i="6" a="1"/>
  <c r="O9" i="6" s="1"/>
  <c r="P9" i="6" a="1"/>
  <c r="P9" i="6" s="1"/>
  <c r="Q9" i="6" a="1"/>
  <c r="Q9" i="6" s="1"/>
  <c r="S9" i="6" a="1"/>
  <c r="S9" i="6" s="1"/>
  <c r="V9" i="6"/>
  <c r="AB9" i="6" a="1"/>
  <c r="AB9" i="6" s="1"/>
  <c r="AC9" i="6" a="1"/>
  <c r="AC9" i="6" s="1"/>
  <c r="AD9" i="6" a="1"/>
  <c r="AD9" i="6" s="1"/>
  <c r="AE9" i="6" a="1"/>
  <c r="AE9" i="6" s="1"/>
  <c r="AG9" i="6" a="1"/>
  <c r="AG9" i="6" s="1"/>
  <c r="AJ9" i="6"/>
  <c r="AP9" i="6" a="1"/>
  <c r="AP9" i="6" s="1"/>
  <c r="AQ9" i="6" a="1"/>
  <c r="AQ9" i="6" s="1"/>
  <c r="AR9" i="6" a="1"/>
  <c r="AR9" i="6" s="1"/>
  <c r="AS9" i="6" a="1"/>
  <c r="AS9" i="6" s="1"/>
  <c r="AU9" i="6" a="1"/>
  <c r="AU9" i="6" s="1"/>
  <c r="AX9" i="6"/>
  <c r="BL9" i="6"/>
  <c r="N11" i="6" a="1"/>
  <c r="N11" i="6" s="1"/>
  <c r="O11" i="6" a="1"/>
  <c r="O11" i="6" s="1"/>
  <c r="P11" i="6" a="1"/>
  <c r="P11" i="6" s="1"/>
  <c r="Q11" i="6" a="1"/>
  <c r="Q11" i="6" s="1"/>
  <c r="S11" i="6" a="1"/>
  <c r="S11" i="6" s="1"/>
  <c r="V11" i="6"/>
  <c r="AB11" i="6" a="1"/>
  <c r="AB11" i="6" s="1"/>
  <c r="AC11" i="6" a="1"/>
  <c r="AC11" i="6" s="1"/>
  <c r="AD11" i="6" a="1"/>
  <c r="AD11" i="6" s="1"/>
  <c r="AE11" i="6" a="1"/>
  <c r="AE11" i="6" s="1"/>
  <c r="AG11" i="6" a="1"/>
  <c r="AG11" i="6" s="1"/>
  <c r="AJ11" i="6"/>
  <c r="AP11" i="6" a="1"/>
  <c r="AP11" i="6" s="1"/>
  <c r="AQ11" i="6" a="1"/>
  <c r="AQ11" i="6" s="1"/>
  <c r="AR11" i="6" a="1"/>
  <c r="AR11" i="6" s="1"/>
  <c r="AS11" i="6" a="1"/>
  <c r="AS11" i="6" s="1"/>
  <c r="AU11" i="6" a="1"/>
  <c r="AU11" i="6" s="1"/>
  <c r="AX11" i="6"/>
  <c r="BL11" i="6"/>
  <c r="N12" i="6" a="1"/>
  <c r="N12" i="6" s="1"/>
  <c r="O12" i="6" a="1"/>
  <c r="O12" i="6" s="1"/>
  <c r="P12" i="6" a="1"/>
  <c r="P12" i="6" s="1"/>
  <c r="Q12" i="6" a="1"/>
  <c r="Q12" i="6" s="1"/>
  <c r="S12" i="6" a="1"/>
  <c r="S12" i="6" s="1"/>
  <c r="V12" i="6"/>
  <c r="AB12" i="6" a="1"/>
  <c r="AB12" i="6" s="1"/>
  <c r="AC12" i="6" a="1"/>
  <c r="AC12" i="6" s="1"/>
  <c r="AD12" i="6" a="1"/>
  <c r="AD12" i="6" s="1"/>
  <c r="AE12" i="6" a="1"/>
  <c r="AE12" i="6" s="1"/>
  <c r="AG12" i="6" a="1"/>
  <c r="AG12" i="6" s="1"/>
  <c r="AJ12" i="6"/>
  <c r="AP12" i="6" a="1"/>
  <c r="AP12" i="6" s="1"/>
  <c r="AQ12" i="6" a="1"/>
  <c r="AQ12" i="6" s="1"/>
  <c r="AR12" i="6" a="1"/>
  <c r="AR12" i="6" s="1"/>
  <c r="AS12" i="6" a="1"/>
  <c r="AS12" i="6" s="1"/>
  <c r="AU12" i="6" a="1"/>
  <c r="AU12" i="6" s="1"/>
  <c r="AX12" i="6"/>
  <c r="BL12" i="6"/>
  <c r="BL4" i="6"/>
  <c r="AX4" i="6"/>
  <c r="AJ4" i="6"/>
  <c r="V4" i="6"/>
  <c r="BM10" i="6" l="1"/>
  <c r="BK11" i="6"/>
  <c r="BM11" i="6" s="1"/>
  <c r="BK12" i="6"/>
  <c r="BM12" i="6" s="1"/>
  <c r="BK8" i="6"/>
  <c r="AK12" i="6"/>
  <c r="AI9" i="6"/>
  <c r="AK9" i="6" s="1"/>
  <c r="AI11" i="6"/>
  <c r="AK11" i="6" s="1"/>
  <c r="BM9" i="6"/>
  <c r="AW12" i="6"/>
  <c r="AY12" i="6" s="1"/>
  <c r="AW8" i="6"/>
  <c r="AY8" i="6" s="1"/>
  <c r="AW11" i="6"/>
  <c r="AY11" i="6" s="1"/>
  <c r="BM8" i="6"/>
  <c r="AW9" i="6"/>
  <c r="AY9" i="6" s="1"/>
  <c r="AI8" i="6"/>
  <c r="AK8" i="6" s="1"/>
  <c r="K11" i="6"/>
  <c r="K5" i="6"/>
  <c r="K6" i="6"/>
  <c r="K7" i="6"/>
  <c r="K8" i="6"/>
  <c r="K9" i="6"/>
  <c r="K12" i="6"/>
  <c r="K4" i="6"/>
  <c r="U12" i="6" l="1"/>
  <c r="U9" i="6"/>
  <c r="U8" i="6"/>
  <c r="U11" i="6"/>
  <c r="H7" i="9"/>
  <c r="BO12" i="6" l="1"/>
  <c r="W12" i="6"/>
  <c r="BO8" i="6"/>
  <c r="W8" i="6"/>
  <c r="BO9" i="6"/>
  <c r="W9" i="6"/>
  <c r="BO11" i="6"/>
  <c r="W11" i="6"/>
  <c r="H5" i="9"/>
  <c r="H4" i="9"/>
  <c r="H6" i="9" l="1"/>
  <c r="C5" i="6" l="1"/>
  <c r="C6" i="6"/>
  <c r="C7" i="6"/>
  <c r="C4" i="6"/>
  <c r="BE6" i="6" l="1" a="1"/>
  <c r="BE6" i="6" s="1"/>
  <c r="BF6" i="6" a="1"/>
  <c r="BF6" i="6" s="1"/>
  <c r="BD6" i="6" a="1"/>
  <c r="BD6" i="6" s="1"/>
  <c r="BG6" i="6" a="1"/>
  <c r="BG6" i="6" s="1"/>
  <c r="BI6" i="6" a="1"/>
  <c r="BI6" i="6" s="1"/>
  <c r="BE7" i="6" a="1"/>
  <c r="BE7" i="6" s="1"/>
  <c r="BF7" i="6" a="1"/>
  <c r="BF7" i="6" s="1"/>
  <c r="BD7" i="6" a="1"/>
  <c r="BD7" i="6" s="1"/>
  <c r="BG7" i="6" a="1"/>
  <c r="BG7" i="6" s="1"/>
  <c r="BI7" i="6" a="1"/>
  <c r="BI7" i="6" s="1"/>
  <c r="BE5" i="6" a="1"/>
  <c r="BE5" i="6" s="1"/>
  <c r="BF5" i="6" a="1"/>
  <c r="BF5" i="6" s="1"/>
  <c r="BD5" i="6" a="1"/>
  <c r="BD5" i="6" s="1"/>
  <c r="BG5" i="6" a="1"/>
  <c r="BG5" i="6" s="1"/>
  <c r="BI5" i="6" a="1"/>
  <c r="BI5" i="6" s="1"/>
  <c r="N7" i="6" a="1"/>
  <c r="N7" i="6" s="1"/>
  <c r="Q7" i="6" a="1"/>
  <c r="Q7" i="6" s="1"/>
  <c r="AB7" i="6" a="1"/>
  <c r="AB7" i="6" s="1"/>
  <c r="AE7" i="6" a="1"/>
  <c r="AE7" i="6" s="1"/>
  <c r="AS7" i="6" a="1"/>
  <c r="AS7" i="6" s="1"/>
  <c r="AW7" i="6" s="1"/>
  <c r="AY7" i="6" s="1"/>
  <c r="O7" i="6" a="1"/>
  <c r="O7" i="6" s="1"/>
  <c r="AC7" i="6" a="1"/>
  <c r="AC7" i="6" s="1"/>
  <c r="AP7" i="6" a="1"/>
  <c r="AP7" i="6" s="1"/>
  <c r="S7" i="6" a="1"/>
  <c r="S7" i="6" s="1"/>
  <c r="AG7" i="6" a="1"/>
  <c r="AG7" i="6" s="1"/>
  <c r="AQ7" i="6" a="1"/>
  <c r="AQ7" i="6" s="1"/>
  <c r="AU7" i="6" a="1"/>
  <c r="AU7" i="6" s="1"/>
  <c r="P7" i="6" a="1"/>
  <c r="P7" i="6" s="1"/>
  <c r="U7" i="6" s="1"/>
  <c r="W7" i="6" s="1"/>
  <c r="AD7" i="6" a="1"/>
  <c r="AD7" i="6" s="1"/>
  <c r="AI7" i="6" s="1"/>
  <c r="AK7" i="6" s="1"/>
  <c r="AR7" i="6" a="1"/>
  <c r="AR7" i="6" s="1"/>
  <c r="N6" i="6" a="1"/>
  <c r="N6" i="6" s="1"/>
  <c r="Q6" i="6" a="1"/>
  <c r="Q6" i="6" s="1"/>
  <c r="AB6" i="6" a="1"/>
  <c r="AB6" i="6" s="1"/>
  <c r="AE6" i="6" a="1"/>
  <c r="AE6" i="6" s="1"/>
  <c r="AS6" i="6" a="1"/>
  <c r="AS6" i="6" s="1"/>
  <c r="AW6" i="6" s="1"/>
  <c r="AY6" i="6" s="1"/>
  <c r="O6" i="6" a="1"/>
  <c r="O6" i="6" s="1"/>
  <c r="AC6" i="6" a="1"/>
  <c r="AC6" i="6" s="1"/>
  <c r="AP6" i="6" a="1"/>
  <c r="AP6" i="6" s="1"/>
  <c r="S6" i="6" a="1"/>
  <c r="S6" i="6" s="1"/>
  <c r="AG6" i="6" a="1"/>
  <c r="AG6" i="6" s="1"/>
  <c r="AQ6" i="6" a="1"/>
  <c r="AQ6" i="6" s="1"/>
  <c r="AU6" i="6" a="1"/>
  <c r="AU6" i="6" s="1"/>
  <c r="P6" i="6" a="1"/>
  <c r="P6" i="6" s="1"/>
  <c r="U6" i="6" s="1"/>
  <c r="W6" i="6" s="1"/>
  <c r="AD6" i="6" a="1"/>
  <c r="AD6" i="6" s="1"/>
  <c r="AI6" i="6" s="1"/>
  <c r="AK6" i="6" s="1"/>
  <c r="AR6" i="6" a="1"/>
  <c r="AR6" i="6" s="1"/>
  <c r="N5" i="6" a="1"/>
  <c r="N5" i="6" s="1"/>
  <c r="Q5" i="6" a="1"/>
  <c r="Q5" i="6" s="1"/>
  <c r="AB5" i="6" a="1"/>
  <c r="AB5" i="6" s="1"/>
  <c r="AE5" i="6" a="1"/>
  <c r="AE5" i="6" s="1"/>
  <c r="AS5" i="6" a="1"/>
  <c r="AS5" i="6" s="1"/>
  <c r="O5" i="6" a="1"/>
  <c r="O5" i="6" s="1"/>
  <c r="AC5" i="6" a="1"/>
  <c r="AC5" i="6" s="1"/>
  <c r="AP5" i="6" a="1"/>
  <c r="AP5" i="6" s="1"/>
  <c r="S5" i="6" a="1"/>
  <c r="S5" i="6" s="1"/>
  <c r="AG5" i="6" a="1"/>
  <c r="AG5" i="6" s="1"/>
  <c r="AQ5" i="6" a="1"/>
  <c r="AQ5" i="6" s="1"/>
  <c r="AU5" i="6" a="1"/>
  <c r="AU5" i="6" s="1"/>
  <c r="P5" i="6" a="1"/>
  <c r="P5" i="6" s="1"/>
  <c r="U5" i="6" s="1"/>
  <c r="W5" i="6" s="1"/>
  <c r="AD5" i="6" a="1"/>
  <c r="AD5" i="6" s="1"/>
  <c r="AI5" i="6" s="1"/>
  <c r="AK5" i="6" s="1"/>
  <c r="AR5" i="6" a="1"/>
  <c r="AR5" i="6" s="1"/>
  <c r="AW5" i="6" s="1"/>
  <c r="AY5" i="6" s="1"/>
  <c r="BI4" i="6" a="1"/>
  <c r="BI4" i="6" s="1"/>
  <c r="BF4" i="6" a="1"/>
  <c r="BF4" i="6" s="1"/>
  <c r="BD4" i="6" a="1"/>
  <c r="BD4" i="6" s="1"/>
  <c r="BG4" i="6" a="1"/>
  <c r="BG4" i="6" s="1"/>
  <c r="BE4" i="6" a="1"/>
  <c r="BE4" i="6" s="1"/>
  <c r="AS4" i="6" a="1"/>
  <c r="AS4" i="6" s="1"/>
  <c r="AQ4" i="6" a="1"/>
  <c r="AQ4" i="6" s="1"/>
  <c r="AP4" i="6" a="1"/>
  <c r="AP4" i="6" s="1"/>
  <c r="AU4" i="6" a="1"/>
  <c r="AU4" i="6" s="1"/>
  <c r="AR4" i="6" a="1"/>
  <c r="AR4" i="6" s="1"/>
  <c r="AW4" i="6" s="1"/>
  <c r="AY4" i="6" s="1"/>
  <c r="S4" i="6" a="1"/>
  <c r="S4" i="6" s="1"/>
  <c r="AE4" i="6" a="1"/>
  <c r="AE4" i="6" s="1"/>
  <c r="AC4" i="6" a="1"/>
  <c r="AC4" i="6" s="1"/>
  <c r="AD4" i="6" a="1"/>
  <c r="AD4" i="6" s="1"/>
  <c r="AI4" i="6" s="1"/>
  <c r="AK4" i="6" s="1"/>
  <c r="AG4" i="6" a="1"/>
  <c r="AG4" i="6" s="1"/>
  <c r="AB4" i="6" a="1"/>
  <c r="AB4" i="6" s="1"/>
  <c r="Q4" i="6" a="1"/>
  <c r="Q4" i="6" s="1"/>
  <c r="P4" i="6" a="1"/>
  <c r="P4" i="6" s="1"/>
  <c r="N4" i="6" a="1"/>
  <c r="N4" i="6" s="1"/>
  <c r="O4" i="6" a="1"/>
  <c r="O4" i="6" s="1"/>
  <c r="BK5" i="6" l="1"/>
  <c r="BM5" i="6" s="1"/>
  <c r="BK6" i="6"/>
  <c r="BM6" i="6" s="1"/>
  <c r="BK4" i="6"/>
  <c r="BM4" i="6" s="1"/>
  <c r="BK7" i="6"/>
  <c r="BO7" i="6" s="1"/>
  <c r="AY13" i="6"/>
  <c r="AK13" i="6"/>
  <c r="U4" i="6"/>
  <c r="D6" i="9"/>
  <c r="D7" i="9"/>
  <c r="BO6" i="6" l="1"/>
  <c r="BO5" i="6"/>
  <c r="BM7" i="6"/>
  <c r="BM13" i="6" s="1"/>
  <c r="D4" i="9"/>
  <c r="W4" i="6"/>
  <c r="W13" i="6" s="1"/>
  <c r="BO4" i="6"/>
  <c r="BO13" i="6" s="1"/>
  <c r="D5" i="9"/>
  <c r="L2" i="4" l="1" a="1"/>
  <c r="L2" i="4" s="1"/>
  <c r="M2" i="4" s="1"/>
  <c r="M3" i="2" a="1"/>
  <c r="M3" i="2" s="1"/>
  <c r="M4" i="2" a="1"/>
  <c r="M4" i="2" s="1"/>
  <c r="M5" i="2" a="1"/>
  <c r="M5" i="2" s="1"/>
  <c r="M6" i="2" a="1"/>
  <c r="M6" i="2" s="1"/>
  <c r="M7" i="2" a="1"/>
  <c r="M7" i="2" s="1"/>
  <c r="M8" i="2" a="1"/>
  <c r="M8" i="2" s="1"/>
  <c r="M9" i="2" a="1"/>
  <c r="M9" i="2" s="1"/>
  <c r="M10" i="2" a="1"/>
  <c r="M10" i="2" s="1"/>
  <c r="M11" i="2" a="1"/>
  <c r="M11" i="2" s="1"/>
  <c r="M12" i="2" a="1"/>
  <c r="M12" i="2" s="1"/>
  <c r="M2" i="2" a="1"/>
  <c r="M2" i="2" s="1"/>
  <c r="N9" i="2" l="1"/>
  <c r="O9" i="2"/>
  <c r="N5" i="2"/>
  <c r="O5" i="2"/>
  <c r="N12" i="2"/>
  <c r="O12" i="2"/>
  <c r="N8" i="2"/>
  <c r="O8" i="2"/>
  <c r="N4" i="2"/>
  <c r="O4" i="2"/>
  <c r="N11" i="2"/>
  <c r="O11" i="2"/>
  <c r="N7" i="2"/>
  <c r="O7" i="2"/>
  <c r="N10" i="2"/>
  <c r="O10" i="2"/>
  <c r="N6" i="2"/>
  <c r="O6" i="2"/>
  <c r="N3" i="2"/>
  <c r="O3" i="2"/>
  <c r="M13" i="2"/>
  <c r="O2" i="2"/>
  <c r="N2" i="2"/>
  <c r="H9" i="9" l="1"/>
  <c r="O13" i="2"/>
  <c r="H26" i="4"/>
  <c r="I18" i="4" s="1"/>
  <c r="J18" i="4" s="1"/>
  <c r="K18" i="4" s="1"/>
  <c r="I20" i="4" l="1"/>
  <c r="J20" i="4" s="1"/>
  <c r="K20" i="4" s="1"/>
  <c r="I25" i="4"/>
  <c r="J25" i="4" s="1"/>
  <c r="K25" i="4" s="1"/>
  <c r="I17" i="4"/>
  <c r="J17" i="4" s="1"/>
  <c r="K17" i="4" s="1"/>
  <c r="I24" i="4"/>
  <c r="J24" i="4" s="1"/>
  <c r="K24" i="4" s="1"/>
  <c r="I21" i="4"/>
  <c r="J21" i="4" s="1"/>
  <c r="K21" i="4" s="1"/>
  <c r="I23" i="4"/>
  <c r="J23" i="4" s="1"/>
  <c r="K23" i="4" s="1"/>
  <c r="I19" i="4"/>
  <c r="J19" i="4" s="1"/>
  <c r="K19" i="4" s="1"/>
  <c r="I16" i="4"/>
  <c r="J16" i="4" s="1"/>
  <c r="K16" i="4" s="1"/>
  <c r="I22" i="4"/>
  <c r="J22" i="4" s="1"/>
  <c r="K22" i="4" s="1"/>
  <c r="R3" i="1" l="1"/>
  <c r="Q3" i="1"/>
  <c r="L4" i="4" l="1" a="1"/>
  <c r="L4" i="4" s="1"/>
  <c r="M4" i="4" s="1"/>
  <c r="L5" i="4" a="1"/>
  <c r="L5" i="4" s="1"/>
  <c r="M5" i="4" s="1"/>
  <c r="L6" i="4" a="1"/>
  <c r="L6" i="4" s="1"/>
  <c r="M6" i="4" s="1"/>
  <c r="L7" i="4" a="1"/>
  <c r="L7" i="4" s="1"/>
  <c r="M7" i="4" s="1"/>
  <c r="L8" i="4" a="1"/>
  <c r="L8" i="4" s="1"/>
  <c r="M8" i="4" s="1"/>
  <c r="L9" i="4" a="1"/>
  <c r="L9" i="4" s="1"/>
  <c r="M9" i="4" s="1"/>
  <c r="L10" i="4" a="1"/>
  <c r="L10" i="4" s="1"/>
  <c r="M10" i="4" s="1"/>
  <c r="L11" i="4" a="1"/>
  <c r="L11" i="4" s="1"/>
  <c r="M11" i="4" s="1"/>
  <c r="L12" i="4" a="1"/>
  <c r="L12" i="4" s="1"/>
  <c r="M12" i="4" s="1"/>
  <c r="L3" i="4" a="1"/>
  <c r="L3" i="4" s="1"/>
  <c r="M3" i="4" s="1"/>
  <c r="M13" i="4" l="1"/>
  <c r="G5" i="5"/>
  <c r="H5" i="5" s="1"/>
  <c r="G6" i="5"/>
  <c r="H6" i="5" s="1"/>
  <c r="G7" i="5"/>
  <c r="H7" i="5" s="1"/>
  <c r="G8" i="5"/>
  <c r="H8" i="5" s="1"/>
  <c r="G9" i="5"/>
  <c r="H9" i="5" s="1"/>
  <c r="G10" i="5"/>
  <c r="H10" i="5" s="1"/>
  <c r="G11" i="5"/>
  <c r="H11" i="5" s="1"/>
  <c r="G12" i="5"/>
  <c r="H12" i="5" s="1"/>
  <c r="G13" i="5"/>
  <c r="H13" i="5" s="1"/>
  <c r="G14" i="5"/>
  <c r="H14" i="5" s="1"/>
  <c r="G15" i="5"/>
  <c r="H15" i="5" s="1"/>
  <c r="G16" i="5"/>
  <c r="H16" i="5" s="1"/>
  <c r="G17" i="5"/>
  <c r="H17" i="5" s="1"/>
  <c r="G18" i="5"/>
  <c r="H18" i="5" s="1"/>
  <c r="G19" i="5"/>
  <c r="H19" i="5" s="1"/>
  <c r="G20" i="5"/>
  <c r="H20" i="5" s="1"/>
  <c r="G21" i="5"/>
  <c r="H21" i="5" s="1"/>
  <c r="G22" i="5"/>
  <c r="H22" i="5" s="1"/>
  <c r="G23" i="5"/>
  <c r="H23" i="5" s="1"/>
  <c r="P126" i="3"/>
  <c r="P125" i="3"/>
  <c r="P124" i="3"/>
  <c r="P123" i="3"/>
  <c r="P122" i="3"/>
  <c r="P121" i="3"/>
  <c r="P120" i="3"/>
  <c r="P119" i="3"/>
  <c r="P118" i="3"/>
  <c r="P117" i="3"/>
  <c r="P116" i="3"/>
  <c r="P115" i="3"/>
  <c r="P114" i="3"/>
  <c r="P113" i="3"/>
  <c r="G4" i="5" s="1"/>
  <c r="H4" i="5" s="1"/>
  <c r="P112" i="3"/>
  <c r="P111" i="3"/>
  <c r="P110" i="3"/>
  <c r="P109" i="3"/>
  <c r="P108" i="3"/>
  <c r="P85" i="3"/>
  <c r="P86" i="3"/>
  <c r="P87" i="3"/>
  <c r="P88" i="3"/>
  <c r="P89" i="3"/>
  <c r="P90" i="3"/>
  <c r="P91" i="3"/>
  <c r="P92" i="3"/>
  <c r="P93" i="3"/>
  <c r="P94" i="3"/>
  <c r="P95" i="3"/>
  <c r="P96" i="3"/>
  <c r="P97" i="3"/>
  <c r="P98" i="3"/>
  <c r="P99" i="3"/>
  <c r="P100" i="3"/>
  <c r="P101" i="3"/>
  <c r="P102" i="3"/>
  <c r="P84" i="3"/>
  <c r="M15" i="4" l="1"/>
  <c r="N13" i="4"/>
  <c r="P127" i="3"/>
  <c r="P103" i="3"/>
  <c r="G3" i="5"/>
  <c r="H3" i="5" s="1"/>
  <c r="O127" i="3"/>
  <c r="N127" i="3"/>
  <c r="M127" i="3"/>
  <c r="L127" i="3"/>
  <c r="K127" i="3"/>
  <c r="J127" i="3"/>
  <c r="I127" i="3"/>
  <c r="H127" i="3"/>
  <c r="G127" i="3"/>
  <c r="F127" i="3"/>
  <c r="E127" i="3"/>
  <c r="D127" i="3"/>
  <c r="C127" i="3"/>
  <c r="B127" i="3"/>
  <c r="C103" i="3"/>
  <c r="D103" i="3"/>
  <c r="E103" i="3"/>
  <c r="F103" i="3"/>
  <c r="G103" i="3"/>
  <c r="H103" i="3"/>
  <c r="I103" i="3"/>
  <c r="J103" i="3"/>
  <c r="K103" i="3"/>
  <c r="L103" i="3"/>
  <c r="M103" i="3"/>
  <c r="N103" i="3"/>
  <c r="O103" i="3"/>
  <c r="B103" i="3"/>
  <c r="C105" i="3" l="1"/>
  <c r="C81" i="3"/>
  <c r="I3" i="1"/>
  <c r="S3" i="1" s="1" a="1"/>
  <c r="S3" i="1" s="1"/>
  <c r="T3" i="1" s="1"/>
  <c r="U3" i="1" s="1"/>
  <c r="G3" i="1"/>
</calcChain>
</file>

<file path=xl/sharedStrings.xml><?xml version="1.0" encoding="utf-8"?>
<sst xmlns="http://schemas.openxmlformats.org/spreadsheetml/2006/main" count="829" uniqueCount="339">
  <si>
    <t>序号</t>
    <phoneticPr fontId="1" type="noConversion"/>
  </si>
  <si>
    <t>密封点编号</t>
    <phoneticPr fontId="1" type="noConversion"/>
  </si>
  <si>
    <t>密封点类型</t>
    <phoneticPr fontId="1" type="noConversion"/>
  </si>
  <si>
    <t>服务介质类型</t>
    <phoneticPr fontId="1" type="noConversion"/>
  </si>
  <si>
    <t>筛选值（ppm）</t>
    <phoneticPr fontId="1" type="noConversion"/>
  </si>
  <si>
    <t>介质中VOCs含量（%）</t>
    <phoneticPr fontId="1" type="noConversion"/>
  </si>
  <si>
    <t>运行时间（小时）</t>
    <phoneticPr fontId="1" type="noConversion"/>
  </si>
  <si>
    <t>VOCs排放量核算</t>
    <phoneticPr fontId="1" type="noConversion"/>
  </si>
  <si>
    <t>轻液体</t>
  </si>
  <si>
    <t>排放速率（千克/小时）</t>
    <phoneticPr fontId="1" type="noConversion"/>
  </si>
  <si>
    <t>年排放量（吨/年）</t>
    <phoneticPr fontId="1" type="noConversion"/>
  </si>
  <si>
    <t>密封点性质编码</t>
    <phoneticPr fontId="1" type="noConversion"/>
  </si>
  <si>
    <t>密封点类型编码</t>
    <phoneticPr fontId="1" type="noConversion"/>
  </si>
  <si>
    <t>安全阀</t>
  </si>
  <si>
    <t>方法等级</t>
    <phoneticPr fontId="1" type="noConversion"/>
  </si>
  <si>
    <t>行业</t>
    <phoneticPr fontId="1" type="noConversion"/>
  </si>
  <si>
    <t>设备类型</t>
  </si>
  <si>
    <t>设备类型</t>
    <phoneticPr fontId="1" type="noConversion"/>
  </si>
  <si>
    <r>
      <t>默认零值排放速率（</t>
    </r>
    <r>
      <rPr>
        <sz val="10"/>
        <color rgb="FF000000"/>
        <rFont val="Times New Roman"/>
        <family val="1"/>
      </rPr>
      <t>kg/hr/</t>
    </r>
    <r>
      <rPr>
        <sz val="10"/>
        <color rgb="FF000000"/>
        <rFont val="宋体"/>
        <family val="3"/>
        <charset val="134"/>
      </rPr>
      <t>排放源）</t>
    </r>
    <phoneticPr fontId="1" type="noConversion"/>
  </si>
  <si>
    <r>
      <t>限定排放速率（</t>
    </r>
    <r>
      <rPr>
        <sz val="10"/>
        <color rgb="FF000000"/>
        <rFont val="Times New Roman"/>
        <family val="1"/>
      </rPr>
      <t>kg/hr/</t>
    </r>
    <r>
      <rPr>
        <sz val="10"/>
        <color rgb="FF000000"/>
        <rFont val="宋体"/>
        <family val="3"/>
        <charset val="134"/>
      </rPr>
      <t>排放源）</t>
    </r>
    <phoneticPr fontId="1" type="noConversion"/>
  </si>
  <si>
    <t>关系方程系数</t>
    <phoneticPr fontId="1" type="noConversion"/>
  </si>
  <si>
    <t>关系方程指数</t>
    <phoneticPr fontId="1" type="noConversion"/>
  </si>
  <si>
    <t>法兰</t>
  </si>
  <si>
    <t>行业</t>
    <phoneticPr fontId="1" type="noConversion"/>
  </si>
  <si>
    <t>设备类型</t>
    <phoneticPr fontId="1" type="noConversion"/>
  </si>
  <si>
    <t>≥10000</t>
    <phoneticPr fontId="1" type="noConversion"/>
  </si>
  <si>
    <t>＜10000</t>
    <phoneticPr fontId="1" type="noConversion"/>
  </si>
  <si>
    <t>介质</t>
  </si>
  <si>
    <t>介质</t>
    <phoneticPr fontId="1" type="noConversion"/>
  </si>
  <si>
    <t>石油加工</t>
  </si>
  <si>
    <t>气体</t>
  </si>
  <si>
    <t>重液体</t>
  </si>
  <si>
    <t>压缩机密封</t>
  </si>
  <si>
    <t>所有</t>
  </si>
  <si>
    <t>开口管线</t>
  </si>
  <si>
    <t>注</t>
    <phoneticPr fontId="1" type="noConversion"/>
  </si>
  <si>
    <t>针对非甲烷有机化合物排放</t>
    <phoneticPr fontId="1" type="noConversion"/>
  </si>
  <si>
    <t>针对总有机化合物排放</t>
    <phoneticPr fontId="1" type="noConversion"/>
  </si>
  <si>
    <r>
      <t>炼油厂排放系数（</t>
    </r>
    <r>
      <rPr>
        <sz val="9"/>
        <rFont val="Times New Roman"/>
        <family val="1"/>
      </rPr>
      <t>kg/hr/</t>
    </r>
    <r>
      <rPr>
        <sz val="9"/>
        <rFont val="宋体"/>
        <family val="3"/>
        <charset val="134"/>
      </rPr>
      <t>排放源）</t>
    </r>
    <r>
      <rPr>
        <vertAlign val="superscript"/>
        <sz val="9"/>
        <rFont val="Times New Roman"/>
        <family val="1"/>
      </rPr>
      <t>b</t>
    </r>
  </si>
  <si>
    <t>采样接口</t>
  </si>
  <si>
    <t>行业</t>
    <phoneticPr fontId="1" type="noConversion"/>
  </si>
  <si>
    <t>等级</t>
    <phoneticPr fontId="1" type="noConversion"/>
  </si>
  <si>
    <t>工艺单元</t>
  </si>
  <si>
    <t>压缩机</t>
  </si>
  <si>
    <t>轻液</t>
  </si>
  <si>
    <t>重液</t>
  </si>
  <si>
    <t>原油蒸馏</t>
  </si>
  <si>
    <t>烷基化（硫酸）</t>
  </si>
  <si>
    <t>烷基化（氢氟酸）</t>
  </si>
  <si>
    <t>催化重整</t>
  </si>
  <si>
    <t>加氢裂化</t>
  </si>
  <si>
    <r>
      <t>加氢处理</t>
    </r>
    <r>
      <rPr>
        <sz val="9"/>
        <rFont val="Times New Roman"/>
        <family val="1"/>
      </rPr>
      <t>/</t>
    </r>
    <r>
      <rPr>
        <sz val="9"/>
        <rFont val="宋体"/>
        <family val="3"/>
        <charset val="134"/>
      </rPr>
      <t>加氢精制</t>
    </r>
  </si>
  <si>
    <t>催化裂化</t>
  </si>
  <si>
    <t>热裂解（减粘裂化）</t>
  </si>
  <si>
    <t>热裂解（焦化）</t>
  </si>
  <si>
    <t>制氢装置</t>
  </si>
  <si>
    <t>沥青装置</t>
  </si>
  <si>
    <t>产品调和</t>
  </si>
  <si>
    <t>硫回收装置</t>
  </si>
  <si>
    <t>减压蒸馏</t>
  </si>
  <si>
    <t>全馏程蒸馏</t>
  </si>
  <si>
    <t>异构化</t>
  </si>
  <si>
    <t>聚合</t>
  </si>
  <si>
    <r>
      <t>MEK</t>
    </r>
    <r>
      <rPr>
        <sz val="9"/>
        <rFont val="宋体"/>
        <family val="3"/>
        <charset val="134"/>
      </rPr>
      <t>脱蜡</t>
    </r>
  </si>
  <si>
    <t>其它润滑油工艺</t>
  </si>
  <si>
    <t>合计</t>
    <phoneticPr fontId="1" type="noConversion"/>
  </si>
  <si>
    <t>小型工艺过程</t>
    <phoneticPr fontId="1" type="noConversion"/>
  </si>
  <si>
    <t>大型工艺过程</t>
    <phoneticPr fontId="1" type="noConversion"/>
  </si>
  <si>
    <t>方法等级</t>
    <phoneticPr fontId="1" type="noConversion"/>
  </si>
  <si>
    <t>行业</t>
    <phoneticPr fontId="1" type="noConversion"/>
  </si>
  <si>
    <t>默认零值排放源个数</t>
    <phoneticPr fontId="1" type="noConversion"/>
  </si>
  <si>
    <t>筛选值域内排放源个数</t>
    <phoneticPr fontId="1" type="noConversion"/>
  </si>
  <si>
    <t>超出限定值排放源个数</t>
    <phoneticPr fontId="1" type="noConversion"/>
  </si>
  <si>
    <t>≥10000ppmv的排放源个数</t>
    <phoneticPr fontId="1" type="noConversion"/>
  </si>
  <si>
    <t>＜10000ppmv的排放源个数</t>
    <phoneticPr fontId="1" type="noConversion"/>
  </si>
  <si>
    <t>排放点个数</t>
    <phoneticPr fontId="1" type="noConversion"/>
  </si>
  <si>
    <t>工艺单元</t>
    <phoneticPr fontId="1" type="noConversion"/>
  </si>
  <si>
    <t>炼油厂VOCs排放量核算</t>
    <phoneticPr fontId="1" type="noConversion"/>
  </si>
  <si>
    <t>排放量（kg/h)</t>
    <phoneticPr fontId="1" type="noConversion"/>
  </si>
  <si>
    <t>排放量（千克/小时)</t>
    <phoneticPr fontId="1" type="noConversion"/>
  </si>
  <si>
    <t>原油密度</t>
    <phoneticPr fontId="1" type="noConversion"/>
  </si>
  <si>
    <t>原油加工量(万吨/年)</t>
    <phoneticPr fontId="1" type="noConversion"/>
  </si>
  <si>
    <t>连接件</t>
    <phoneticPr fontId="1" type="noConversion"/>
  </si>
  <si>
    <t>连接件</t>
    <phoneticPr fontId="1" type="noConversion"/>
  </si>
  <si>
    <t>连接件</t>
    <phoneticPr fontId="1" type="noConversion"/>
  </si>
  <si>
    <t>泵密封</t>
  </si>
  <si>
    <t>搅拌机密封</t>
  </si>
  <si>
    <t>阀</t>
  </si>
  <si>
    <t>装置类别</t>
    <phoneticPr fontId="1" type="noConversion"/>
  </si>
  <si>
    <t>命名</t>
    <phoneticPr fontId="1" type="noConversion"/>
  </si>
  <si>
    <t>设备类型</t>
    <phoneticPr fontId="1" type="noConversion"/>
  </si>
  <si>
    <t>等级</t>
    <phoneticPr fontId="1" type="noConversion"/>
  </si>
  <si>
    <t>所有</t>
    <phoneticPr fontId="1" type="noConversion"/>
  </si>
  <si>
    <t>加氢处理/加氢精制</t>
  </si>
  <si>
    <t>二级</t>
  </si>
  <si>
    <t>连接件</t>
  </si>
  <si>
    <t>阀门</t>
    <phoneticPr fontId="1" type="noConversion"/>
  </si>
  <si>
    <t>泵</t>
    <phoneticPr fontId="1" type="noConversion"/>
  </si>
  <si>
    <t>压缩机</t>
    <phoneticPr fontId="1" type="noConversion"/>
  </si>
  <si>
    <t>压力释放阀</t>
    <phoneticPr fontId="1" type="noConversion"/>
  </si>
  <si>
    <t>法兰</t>
    <phoneticPr fontId="1" type="noConversion"/>
  </si>
  <si>
    <t>空冷器管堵</t>
    <phoneticPr fontId="1" type="noConversion"/>
  </si>
  <si>
    <t>开口管线</t>
    <phoneticPr fontId="1" type="noConversion"/>
  </si>
  <si>
    <t>四级</t>
    <phoneticPr fontId="1" type="noConversion"/>
  </si>
  <si>
    <t>三级</t>
    <phoneticPr fontId="1" type="noConversion"/>
  </si>
  <si>
    <t>二级</t>
    <phoneticPr fontId="1" type="noConversion"/>
  </si>
  <si>
    <t>二级零值</t>
    <phoneticPr fontId="1" type="noConversion"/>
  </si>
  <si>
    <r>
      <t xml:space="preserve"> </t>
    </r>
    <r>
      <rPr>
        <sz val="12"/>
        <color theme="1"/>
        <rFont val="宋体"/>
        <family val="3"/>
        <charset val="134"/>
        <scheme val="minor"/>
      </rPr>
      <t>其它设备来自于仪表、装卸臂、压力释放阀、填料函和排气孔。</t>
    </r>
    <r>
      <rPr>
        <sz val="12"/>
        <color theme="1"/>
        <rFont val="Arial Narrow"/>
        <family val="2"/>
      </rPr>
      <t>“</t>
    </r>
    <r>
      <rPr>
        <sz val="12"/>
        <color theme="1"/>
        <rFont val="宋体"/>
        <family val="3"/>
        <charset val="134"/>
        <scheme val="minor"/>
      </rPr>
      <t>其它</t>
    </r>
    <r>
      <rPr>
        <sz val="12"/>
        <color theme="1"/>
        <rFont val="Arial Narrow"/>
        <family val="2"/>
      </rPr>
      <t>”</t>
    </r>
    <r>
      <rPr>
        <sz val="12"/>
        <color theme="1"/>
        <rFont val="宋体"/>
        <family val="3"/>
        <charset val="134"/>
        <scheme val="minor"/>
      </rPr>
      <t>类设备可应用于除了连接器、法兰、开口管线、泵和阀门以外的任何设备</t>
    </r>
  </si>
  <si>
    <t>介质</t>
    <phoneticPr fontId="1" type="noConversion"/>
  </si>
  <si>
    <t>所有</t>
    <phoneticPr fontId="1" type="noConversion"/>
  </si>
  <si>
    <t>气体</t>
    <phoneticPr fontId="1" type="noConversion"/>
  </si>
  <si>
    <t>轻液体</t>
    <phoneticPr fontId="1" type="noConversion"/>
  </si>
  <si>
    <t>重液体</t>
    <phoneticPr fontId="1" type="noConversion"/>
  </si>
  <si>
    <t>二级关系值</t>
    <phoneticPr fontId="1" type="noConversion"/>
  </si>
  <si>
    <t>三级</t>
    <phoneticPr fontId="1" type="noConversion"/>
  </si>
  <si>
    <t>四级</t>
    <phoneticPr fontId="1" type="noConversion"/>
  </si>
  <si>
    <t>阀</t>
    <phoneticPr fontId="1" type="noConversion"/>
  </si>
  <si>
    <t>监测值是否大于10000ppmv</t>
    <phoneticPr fontId="1" type="noConversion"/>
  </si>
  <si>
    <t>石油炼制</t>
  </si>
  <si>
    <t>2级石油炼制</t>
  </si>
  <si>
    <t>石油炼制相关式计算结果为总有机物（TOC）排放速率（包括非挥发性有机物，如甲烷和乙烷）。</t>
  </si>
  <si>
    <t>石油化工</t>
  </si>
  <si>
    <t>2级石油化工</t>
  </si>
  <si>
    <t>二级限值50000</t>
    <phoneticPr fontId="1" type="noConversion"/>
  </si>
  <si>
    <t>核算方法</t>
    <phoneticPr fontId="1" type="noConversion"/>
  </si>
  <si>
    <t>平均排放系数法</t>
    <phoneticPr fontId="1" type="noConversion"/>
  </si>
  <si>
    <t>四级</t>
    <phoneticPr fontId="1" type="noConversion"/>
  </si>
  <si>
    <t>筛选范围法</t>
    <phoneticPr fontId="1" type="noConversion"/>
  </si>
  <si>
    <t>三级</t>
    <phoneticPr fontId="1" type="noConversion"/>
  </si>
  <si>
    <t>相关方程法</t>
    <phoneticPr fontId="1" type="noConversion"/>
  </si>
  <si>
    <t>二级</t>
    <phoneticPr fontId="1" type="noConversion"/>
  </si>
  <si>
    <t>实测法</t>
    <phoneticPr fontId="1" type="noConversion"/>
  </si>
  <si>
    <t>核算方法</t>
    <phoneticPr fontId="1" type="noConversion"/>
  </si>
  <si>
    <t>方法等级</t>
    <phoneticPr fontId="1" type="noConversion"/>
  </si>
  <si>
    <t>相关方程法</t>
  </si>
  <si>
    <t>平均排放系数法</t>
  </si>
  <si>
    <t>所有</t>
    <phoneticPr fontId="1" type="noConversion"/>
  </si>
  <si>
    <t>实测</t>
    <phoneticPr fontId="1" type="noConversion"/>
  </si>
  <si>
    <t>汇总</t>
  </si>
  <si>
    <t>同类密封点数</t>
    <phoneticPr fontId="1" type="noConversion"/>
  </si>
  <si>
    <t>筛选范围法</t>
  </si>
  <si>
    <t>装置</t>
  </si>
  <si>
    <t>区域</t>
  </si>
  <si>
    <r>
      <t>设备位号</t>
    </r>
    <r>
      <rPr>
        <sz val="10.5"/>
        <color theme="1"/>
        <rFont val="Times New Roman"/>
        <family val="1"/>
      </rPr>
      <t>/</t>
    </r>
    <r>
      <rPr>
        <sz val="10.5"/>
        <color theme="1"/>
        <rFont val="仿宋_GB2312"/>
        <family val="3"/>
        <charset val="134"/>
      </rPr>
      <t>管线号</t>
    </r>
  </si>
  <si>
    <t>密封群组编码</t>
  </si>
  <si>
    <t>扩展号</t>
  </si>
  <si>
    <t>密封点类型</t>
  </si>
  <si>
    <r>
      <t>公称直径（</t>
    </r>
    <r>
      <rPr>
        <sz val="10.5"/>
        <color theme="1"/>
        <rFont val="Times New Roman"/>
        <family val="1"/>
      </rPr>
      <t>mm</t>
    </r>
    <r>
      <rPr>
        <sz val="10.5"/>
        <color theme="1"/>
        <rFont val="仿宋_GB2312"/>
        <family val="3"/>
        <charset val="134"/>
      </rPr>
      <t>）</t>
    </r>
  </si>
  <si>
    <t>主要介质</t>
  </si>
  <si>
    <t>介质状态</t>
  </si>
  <si>
    <r>
      <t>TOC</t>
    </r>
    <r>
      <rPr>
        <sz val="10.5"/>
        <color theme="1"/>
        <rFont val="仿宋_GB2312"/>
        <family val="3"/>
        <charset val="134"/>
      </rPr>
      <t>含量（</t>
    </r>
    <r>
      <rPr>
        <sz val="10.5"/>
        <color theme="1"/>
        <rFont val="Times New Roman"/>
        <family val="1"/>
      </rPr>
      <t>%</t>
    </r>
    <r>
      <rPr>
        <sz val="10.5"/>
        <color theme="1"/>
        <rFont val="仿宋_GB2312"/>
        <family val="3"/>
        <charset val="134"/>
      </rPr>
      <t>）</t>
    </r>
  </si>
  <si>
    <r>
      <t>甲烷含量（</t>
    </r>
    <r>
      <rPr>
        <sz val="10.5"/>
        <color theme="1"/>
        <rFont val="Times New Roman"/>
        <family val="1"/>
      </rPr>
      <t>%</t>
    </r>
    <r>
      <rPr>
        <sz val="10.5"/>
        <color theme="1"/>
        <rFont val="仿宋_GB2312"/>
        <family val="3"/>
        <charset val="134"/>
      </rPr>
      <t>）</t>
    </r>
  </si>
  <si>
    <r>
      <t>VOCs</t>
    </r>
    <r>
      <rPr>
        <sz val="10.5"/>
        <color theme="1"/>
        <rFont val="仿宋_GB2312"/>
        <family val="3"/>
        <charset val="134"/>
      </rPr>
      <t>含量（</t>
    </r>
    <r>
      <rPr>
        <sz val="10.5"/>
        <color theme="1"/>
        <rFont val="Times New Roman"/>
        <family val="1"/>
      </rPr>
      <t>%</t>
    </r>
    <r>
      <rPr>
        <sz val="10.5"/>
        <color theme="1"/>
        <rFont val="仿宋_GB2312"/>
        <family val="3"/>
        <charset val="134"/>
      </rPr>
      <t>）</t>
    </r>
  </si>
  <si>
    <t>是否豁免</t>
  </si>
  <si>
    <t>豁免原因</t>
  </si>
  <si>
    <t>是否可达</t>
  </si>
  <si>
    <t>是否保温</t>
  </si>
  <si>
    <t>生产厂家</t>
  </si>
  <si>
    <r>
      <t>设备</t>
    </r>
    <r>
      <rPr>
        <sz val="10.5"/>
        <color theme="1"/>
        <rFont val="Times New Roman"/>
        <family val="1"/>
      </rPr>
      <t>/</t>
    </r>
    <r>
      <rPr>
        <sz val="10.5"/>
        <color theme="1"/>
        <rFont val="仿宋_GB2312"/>
        <family val="3"/>
        <charset val="134"/>
      </rPr>
      <t>管线材质</t>
    </r>
  </si>
  <si>
    <t>投用日期</t>
  </si>
  <si>
    <t>未检测原因</t>
  </si>
  <si>
    <t>检测日期</t>
  </si>
  <si>
    <t>检测人</t>
  </si>
  <si>
    <t>复测值</t>
  </si>
  <si>
    <t>复测时间</t>
  </si>
  <si>
    <t>平台（层）</t>
    <phoneticPr fontId="1" type="noConversion"/>
  </si>
  <si>
    <t>附加描述
（位置/工艺描述）</t>
    <phoneticPr fontId="1" type="noConversion"/>
  </si>
  <si>
    <t>密封材质</t>
    <phoneticPr fontId="1" type="noConversion"/>
  </si>
  <si>
    <t>净检测值
（扣背景）
（µmol/mol）</t>
    <phoneticPr fontId="1" type="noConversion"/>
  </si>
  <si>
    <t>序号</t>
    <phoneticPr fontId="1" type="noConversion"/>
  </si>
  <si>
    <t>化工一厂</t>
    <phoneticPr fontId="1" type="noConversion"/>
  </si>
  <si>
    <t>柴油加氢</t>
    <phoneticPr fontId="1" type="noConversion"/>
  </si>
  <si>
    <r>
      <t>P&amp;ID</t>
    </r>
    <r>
      <rPr>
        <sz val="10.5"/>
        <color theme="1"/>
        <rFont val="仿宋_GB2312"/>
        <family val="3"/>
        <charset val="134"/>
      </rPr>
      <t>图号</t>
    </r>
    <phoneticPr fontId="1" type="noConversion"/>
  </si>
  <si>
    <t>P&amp;ID323</t>
    <phoneticPr fontId="1" type="noConversion"/>
  </si>
  <si>
    <t>01</t>
    <phoneticPr fontId="1" type="noConversion"/>
  </si>
  <si>
    <t>CY-01-02-0005</t>
    <phoneticPr fontId="1" type="noConversion"/>
  </si>
  <si>
    <t>002</t>
    <phoneticPr fontId="1" type="noConversion"/>
  </si>
  <si>
    <t>法兰</t>
    <phoneticPr fontId="1" type="noConversion"/>
  </si>
  <si>
    <t>柴油</t>
    <phoneticPr fontId="1" type="noConversion"/>
  </si>
  <si>
    <t>重液体</t>
    <phoneticPr fontId="1" type="noConversion"/>
  </si>
  <si>
    <t>否</t>
    <phoneticPr fontId="1" type="noConversion"/>
  </si>
  <si>
    <t>是</t>
    <phoneticPr fontId="1" type="noConversion"/>
  </si>
  <si>
    <t>操作温度
（℃）</t>
    <phoneticPr fontId="1" type="noConversion"/>
  </si>
  <si>
    <t>操作压力
（MPa）</t>
    <phoneticPr fontId="1" type="noConversion"/>
  </si>
  <si>
    <t>泵</t>
  </si>
  <si>
    <t>泵</t>
    <phoneticPr fontId="1" type="noConversion"/>
  </si>
  <si>
    <t>泄压设备</t>
  </si>
  <si>
    <t>泄压设备</t>
    <phoneticPr fontId="1" type="noConversion"/>
  </si>
  <si>
    <t>阀门</t>
  </si>
  <si>
    <t>阀门</t>
    <phoneticPr fontId="1" type="noConversion"/>
  </si>
  <si>
    <t>开口阀或开口管线</t>
  </si>
  <si>
    <t>开口阀或开口管线</t>
    <phoneticPr fontId="1" type="noConversion"/>
  </si>
  <si>
    <t>其他</t>
  </si>
  <si>
    <t>其他</t>
    <phoneticPr fontId="1" type="noConversion"/>
  </si>
  <si>
    <t>所有</t>
    <phoneticPr fontId="1" type="noConversion"/>
  </si>
  <si>
    <t>法兰</t>
    <phoneticPr fontId="1" type="noConversion"/>
  </si>
  <si>
    <t>阀</t>
    <phoneticPr fontId="1" type="noConversion"/>
  </si>
  <si>
    <t>搅拌器</t>
  </si>
  <si>
    <t>搅拌机</t>
    <phoneticPr fontId="1" type="noConversion"/>
  </si>
  <si>
    <t>压缩机</t>
    <phoneticPr fontId="1" type="noConversion"/>
  </si>
  <si>
    <t>泄压设备</t>
    <phoneticPr fontId="1" type="noConversion"/>
  </si>
  <si>
    <t>取样连接系统</t>
    <phoneticPr fontId="1" type="noConversion"/>
  </si>
  <si>
    <t>法兰</t>
    <phoneticPr fontId="1" type="noConversion"/>
  </si>
  <si>
    <t>搅拌器</t>
    <phoneticPr fontId="1" type="noConversion"/>
  </si>
  <si>
    <t>压缩封</t>
    <phoneticPr fontId="1" type="noConversion"/>
  </si>
  <si>
    <t>法兰</t>
    <phoneticPr fontId="1" type="noConversion"/>
  </si>
  <si>
    <t>其他</t>
    <phoneticPr fontId="1" type="noConversion"/>
  </si>
  <si>
    <t>其他</t>
    <phoneticPr fontId="1" type="noConversion"/>
  </si>
  <si>
    <t>其他</t>
    <phoneticPr fontId="1" type="noConversion"/>
  </si>
  <si>
    <t>阀门</t>
    <phoneticPr fontId="1" type="noConversion"/>
  </si>
  <si>
    <r>
      <t>年运行时间</t>
    </r>
    <r>
      <rPr>
        <b/>
        <sz val="10.5"/>
        <color theme="1"/>
        <rFont val="Times New Roman"/>
        <family val="1"/>
      </rPr>
      <t>/h</t>
    </r>
  </si>
  <si>
    <r>
      <t>作业部</t>
    </r>
    <r>
      <rPr>
        <b/>
        <sz val="10.5"/>
        <color theme="1"/>
        <rFont val="Times New Roman"/>
        <family val="1"/>
      </rPr>
      <t>/</t>
    </r>
    <r>
      <rPr>
        <b/>
        <sz val="10.5"/>
        <color theme="1"/>
        <rFont val="仿宋_GB2312"/>
        <family val="3"/>
        <charset val="134"/>
      </rPr>
      <t>厂</t>
    </r>
  </si>
  <si>
    <t>实测法</t>
  </si>
  <si>
    <t>搅拌机</t>
  </si>
  <si>
    <t>所属行业</t>
    <phoneticPr fontId="1" type="noConversion"/>
  </si>
  <si>
    <t>密封点编号</t>
    <phoneticPr fontId="1" type="noConversion"/>
  </si>
  <si>
    <t>密封点类型</t>
    <phoneticPr fontId="1" type="noConversion"/>
  </si>
  <si>
    <t>服务介质类型</t>
    <phoneticPr fontId="1" type="noConversion"/>
  </si>
  <si>
    <t>核算方法</t>
    <phoneticPr fontId="1" type="noConversion"/>
  </si>
  <si>
    <t>介质中TOC含量（%）</t>
  </si>
  <si>
    <t>介质中VOCs含量（%）</t>
  </si>
  <si>
    <t>气体介质中甲烷含量（%）</t>
  </si>
  <si>
    <t>排放速率
（千克/小时）</t>
    <phoneticPr fontId="1" type="noConversion"/>
  </si>
  <si>
    <t>实测排放速率（kg/h）</t>
    <phoneticPr fontId="1" type="noConversion"/>
  </si>
  <si>
    <t>开口阀或开口管线</t>
    <phoneticPr fontId="1" type="noConversion"/>
  </si>
  <si>
    <t>实测</t>
    <phoneticPr fontId="1" type="noConversion"/>
  </si>
  <si>
    <t>设备动静密封点VOCs排放量计算表</t>
    <phoneticPr fontId="1" type="noConversion"/>
  </si>
  <si>
    <t>年排放量
（吨/年）</t>
    <phoneticPr fontId="1" type="noConversion"/>
  </si>
  <si>
    <t>第一次净检测值
（ppmv）</t>
    <phoneticPr fontId="1" type="noConversion"/>
  </si>
  <si>
    <t>计算排放速率（kg/h）</t>
    <phoneticPr fontId="1" type="noConversion"/>
  </si>
  <si>
    <t>第二次净检测值
（ppmv）</t>
    <phoneticPr fontId="1" type="noConversion"/>
  </si>
  <si>
    <t>第三次净检测值
（ppmv）</t>
    <phoneticPr fontId="1" type="noConversion"/>
  </si>
  <si>
    <t>第四次净检测值
（ppmv）</t>
    <phoneticPr fontId="1" type="noConversion"/>
  </si>
  <si>
    <t>第一次检测时间</t>
    <phoneticPr fontId="1" type="noConversion"/>
  </si>
  <si>
    <t>第二次检测时间</t>
    <phoneticPr fontId="1" type="noConversion"/>
  </si>
  <si>
    <t>第三次检测时间</t>
    <phoneticPr fontId="1" type="noConversion"/>
  </si>
  <si>
    <t>第四次检测时间</t>
    <phoneticPr fontId="1" type="noConversion"/>
  </si>
  <si>
    <t>第一次运行时间（小时）</t>
    <phoneticPr fontId="1" type="noConversion"/>
  </si>
  <si>
    <t>第二次运行时间（小时）</t>
    <phoneticPr fontId="1" type="noConversion"/>
  </si>
  <si>
    <t>第三次运行时间（小时）</t>
    <phoneticPr fontId="1" type="noConversion"/>
  </si>
  <si>
    <t>第四次运行时间（小时）</t>
    <phoneticPr fontId="1" type="noConversion"/>
  </si>
  <si>
    <t>上一年最后一次检测或修复复测时间</t>
    <phoneticPr fontId="1" type="noConversion"/>
  </si>
  <si>
    <t>下一年第一次检测时间</t>
    <phoneticPr fontId="1" type="noConversion"/>
  </si>
  <si>
    <t>密封点运行时间（小时）</t>
    <phoneticPr fontId="1" type="noConversion"/>
  </si>
  <si>
    <t>上一年末次监测时间</t>
    <phoneticPr fontId="1" type="noConversion"/>
  </si>
  <si>
    <t>第一次检测时间</t>
    <phoneticPr fontId="1" type="noConversion"/>
  </si>
  <si>
    <t>第二次检测时间</t>
    <phoneticPr fontId="1" type="noConversion"/>
  </si>
  <si>
    <t>介质中TOC质量分数</t>
    <phoneticPr fontId="1" type="noConversion"/>
  </si>
  <si>
    <t>介质中VOCs质量分数</t>
    <phoneticPr fontId="1" type="noConversion"/>
  </si>
  <si>
    <t>气体介质中甲烷质量分数</t>
    <phoneticPr fontId="1" type="noConversion"/>
  </si>
  <si>
    <t>第三次检测时间</t>
    <phoneticPr fontId="1" type="noConversion"/>
  </si>
  <si>
    <t>所有</t>
    <phoneticPr fontId="1" type="noConversion"/>
  </si>
  <si>
    <t>第一次检测浓度（ppmv）</t>
    <phoneticPr fontId="1" type="noConversion"/>
  </si>
  <si>
    <t>第三次运行时间（h）</t>
    <phoneticPr fontId="1" type="noConversion"/>
  </si>
  <si>
    <t>第二次检测浓度（ppmv）</t>
    <phoneticPr fontId="1" type="noConversion"/>
  </si>
  <si>
    <t>第三次检测浓度（ppmv）</t>
    <phoneticPr fontId="1" type="noConversion"/>
  </si>
  <si>
    <t>第四次检测浓度（ppmv）</t>
    <phoneticPr fontId="1" type="noConversion"/>
  </si>
  <si>
    <t>第一次检测</t>
    <phoneticPr fontId="1" type="noConversion"/>
  </si>
  <si>
    <t>第二次检测</t>
    <phoneticPr fontId="1" type="noConversion"/>
  </si>
  <si>
    <t>第三次检测</t>
    <phoneticPr fontId="1" type="noConversion"/>
  </si>
  <si>
    <t>第四次检测</t>
    <phoneticPr fontId="1" type="noConversion"/>
  </si>
  <si>
    <t>搅拌机</t>
    <phoneticPr fontId="1" type="noConversion"/>
  </si>
  <si>
    <t>年排放量（千克/年）</t>
    <phoneticPr fontId="1" type="noConversion"/>
  </si>
  <si>
    <t>基础信息</t>
    <phoneticPr fontId="1" type="noConversion"/>
  </si>
  <si>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</si>
  <si>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</si>
  <si>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</si>
  <si>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</si>
  <si>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</si>
  <si>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</si>
  <si>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</si>
  <si>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</si>
  <si>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</si>
  <si>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</si>
  <si>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</si>
  <si>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</si>
  <si>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</si>
  <si>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</si>
  <si>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</si>
  <si>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</si>
  <si>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</si>
  <si>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</si>
  <si>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</si>
  <si>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</si>
  <si>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</si>
  <si>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</si>
  <si>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</si>
  <si>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列24</t>
  </si>
  <si>
    <t>列25</t>
  </si>
  <si>
    <t>列26</t>
  </si>
  <si>
    <t>列27</t>
  </si>
  <si>
    <t>列28</t>
  </si>
  <si>
    <t>列29</t>
  </si>
  <si>
    <t>列30</t>
  </si>
  <si>
    <t>列31</t>
  </si>
  <si>
    <t>列32</t>
  </si>
  <si>
    <t>列33</t>
  </si>
  <si>
    <t>列34</t>
  </si>
  <si>
    <t>列35</t>
  </si>
  <si>
    <t>列36</t>
  </si>
  <si>
    <t>列37</t>
  </si>
  <si>
    <t>列38</t>
  </si>
  <si>
    <t>列39</t>
  </si>
  <si>
    <t>列40</t>
  </si>
  <si>
    <t>列41</t>
  </si>
  <si>
    <t>列42</t>
  </si>
  <si>
    <t>列43</t>
  </si>
  <si>
    <t>列44</t>
  </si>
  <si>
    <t>列45</t>
  </si>
  <si>
    <t>列46</t>
  </si>
  <si>
    <t>列47</t>
  </si>
  <si>
    <t>列48</t>
  </si>
  <si>
    <t>列49</t>
  </si>
  <si>
    <t>列50</t>
  </si>
  <si>
    <t>列51</t>
  </si>
  <si>
    <t>列52</t>
  </si>
  <si>
    <t>列53</t>
  </si>
  <si>
    <t>列54</t>
  </si>
  <si>
    <t>列55</t>
  </si>
  <si>
    <t>列56</t>
  </si>
  <si>
    <t>列57</t>
  </si>
  <si>
    <t>列58</t>
  </si>
  <si>
    <t>列59</t>
  </si>
  <si>
    <t>列60</t>
  </si>
  <si>
    <t>列61</t>
  </si>
  <si>
    <t>列62</t>
  </si>
  <si>
    <t>列63</t>
  </si>
  <si>
    <t>第一次排放量
（千克/小时）</t>
    <phoneticPr fontId="1" type="noConversion"/>
  </si>
  <si>
    <t>第三次排放量
（千克/小时）</t>
    <phoneticPr fontId="1" type="noConversion"/>
  </si>
  <si>
    <t>第一次运行时间（小时）</t>
    <phoneticPr fontId="1" type="noConversion"/>
  </si>
  <si>
    <t>第二次运行时间（小时）</t>
    <phoneticPr fontId="1" type="noConversion"/>
  </si>
  <si>
    <t>第二次排放量
（千克/小时）</t>
    <phoneticPr fontId="1" type="noConversion"/>
  </si>
  <si>
    <t>第四次运行时间（小时）</t>
    <phoneticPr fontId="1" type="noConversion"/>
  </si>
  <si>
    <t>第四次排放量
（千克/小时）</t>
    <phoneticPr fontId="1" type="noConversion"/>
  </si>
  <si>
    <t>列64</t>
  </si>
  <si>
    <t>列65</t>
  </si>
  <si>
    <t>列66</t>
  </si>
  <si>
    <t>列67</t>
  </si>
  <si>
    <t>使用说明：
    1.本计算程序根据《石化行业VOCs污染源排查工作指南》中附录一的相关内容进行编写，目的在于方便设备动静密封点泄漏VOCs排放量计算。
    2.相关计算方法的公式参数已在程序中固化，企业需根据自身LDAR开展情况输入其他参数，包括所述行业、密封点编号、采用的核算方法、密封点类型、服务介质、净检测值（或实测值）、检测时间（或运行时间）等必填项，介质中TOC含量、介质中VOCs含量和气体介质中甲烷含量等为选填项。程序会根据所填内容自动计算密封点排放速率和排放量。
    3.企业所述行业分为石油炼制和石油化工。如企业包括炼油部分和化工部分，需分别石油炼制和石油化工计算相应密封点VOCs排放情况。
    4.计算方法包括实测法、相关方程法、筛选范围法和平均排放系数法。实测法适用于实际测量VOCs排放速率的密封点；相关方程法适用于满足《石化企业泄漏检测与修复工作指南》相关要求，建立密封点档案并实际测出VOCs排放浓度的密封点；筛选范围法适用于满足《石化行业VOCs污染源排查工作指南》筛选范围法使用要求的密封点；平均排放系数法适用于仅有相关密封点情况未进行实际检测的密封点。如选择相关方程法，需填写各次检测的检测时间，如选择其他方法需填写“密封点运行时间”。
    5.密封点类型分为阀门、泵、压缩机、搅拌器、泄压设备、法兰、连接件、取样连接系统、开口阀或开口管线、其他。
    6.介质类型分为气体、轻液体、重液体和所有。
    7.填表人应根据密封点的具体信息，分别填写或选择“密封点编号”、“行业”、“第一次检测核算方法”、“密封点类型”、“服务介质类型”、根据每一轮检测情况选择“核算方法”、“检测时间”、“检测浓度”或“实测浓度”、“同类密封点数”，以及选填内容。
    8.对于“法兰”、“连接件”和“其他”密封点，由于只需一年内检测2次，则只需填写“第一次检测”和“第二次检测”区块。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</si>
</sst>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
    <numFmt numFmtId="177" formatCode="0.000"/>
    <numFmt numFmtId="178" formatCode="yyyy\-mm\-dd\ hh"/>
    <numFmt numFmtId="179" formatCode="yyyy/m/d\ h:mm;@"/>
    <numFmt numFmtId="180" formatCode="0.00_);[Red]\(0.00\)"/>
  </numFmts>
  <fonts count="26">
    <font>
      <sz val="11"/>
      <color theme="1"/>
      <name val="宋体"/>
      <family val="2"/>
      <scheme val="minor"/>
    </font>
    <font>
      <sz val="9"/>
      <name val="宋体"/>
      <family val="3"/>
      <charset val="134"/>
      <scheme val="minor"/>
    </font>
    <font>
      <sz val="10.5"/>
      <color rgb="FF000000"/>
      <name val="宋体"/>
      <family val="3"/>
      <charset val="134"/>
      <scheme val="minor"/>
    </font>
    <font>
      <sz val="10"/>
      <color rgb="FF000000"/>
      <name val="Times New Roman"/>
      <family val="1"/>
    </font>
    <font>
      <sz val="10"/>
      <color rgb="FF000000"/>
      <name val="宋体"/>
      <family val="3"/>
      <charset val="134"/>
    </font>
    <font>
      <sz val="9"/>
      <name val="宋体"/>
      <family val="3"/>
      <charset val="134"/>
    </font>
    <font>
      <sz val="9"/>
      <name val="Times New Roman"/>
      <family val="1"/>
    </font>
    <font>
      <vertAlign val="superscript"/>
      <sz val="9"/>
      <name val="Times New Roman"/>
      <family val="1"/>
    </font>
    <font>
      <sz val="12"/>
      <color theme="1"/>
      <name val="Arial Narrow"/>
      <family val="2"/>
    </font>
    <font>
      <sz val="12"/>
      <color theme="1"/>
      <name val="宋体"/>
      <family val="3"/>
      <charset val="134"/>
      <scheme val="minor"/>
    </font>
    <font>
      <b/>
      <sz val="11"/>
      <color theme="1"/>
      <name val="宋体"/>
      <family val="3"/>
      <charset val="134"/>
      <scheme val="minor"/>
    </font>
    <font>
      <b/>
      <sz val="11"/>
      <name val="宋体"/>
      <family val="3"/>
      <charset val="134"/>
      <scheme val="minor"/>
    </font>
    <font>
      <sz val="11"/>
      <name val="宋体"/>
      <family val="3"/>
      <charset val="134"/>
      <scheme val="minor"/>
    </font>
    <font>
      <sz val="10.5"/>
      <color theme="1"/>
      <name val="仿宋_GB2312"/>
      <family val="3"/>
      <charset val="134"/>
    </font>
    <font>
      <sz val="10.5"/>
      <color theme="1"/>
      <name val="Times New Roman"/>
      <family val="1"/>
    </font>
    <font>
      <sz val="10.5"/>
      <color theme="1"/>
      <name val="宋体"/>
      <family val="3"/>
      <charset val="134"/>
    </font>
    <font>
      <b/>
      <sz val="10.5"/>
      <color theme="1"/>
      <name val="仿宋_GB2312"/>
      <family val="3"/>
      <charset val="134"/>
    </font>
    <font>
      <b/>
      <sz val="10.5"/>
      <color theme="1"/>
      <name val="Times New Roman"/>
      <family val="1"/>
    </font>
    <font>
      <sz val="16"/>
      <color theme="1"/>
      <name val="黑体"/>
      <family val="3"/>
      <charset val="134"/>
    </font>
    <font>
      <sz val="16"/>
      <color theme="1"/>
      <name val="宋体"/>
      <family val="2"/>
      <scheme val="minor"/>
    </font>
    <font>
      <sz val="16"/>
      <color theme="1"/>
      <name val="宋体"/>
      <family val="3"/>
      <charset val="134"/>
    </font>
    <font>
      <sz val="16"/>
      <name val="宋体"/>
      <family val="3"/>
      <charset val="134"/>
    </font>
    <font>
      <sz val="16"/>
      <color theme="1"/>
      <name val="宋体"/>
      <family val="3"/>
      <charset val="134"/>
      <scheme val="minor"/>
    </font>
    <font>
      <sz val="9"/>
      <color rgb="FF444444"/>
      <name val="Tahoma"/>
      <family val="2"/>
    </font>
    <font>
      <sz val="11"/>
      <color theme="1"/>
      <name val="Tahoma"/>
      <family val="2"/>
    </font>
    <font>
      <sz val="11"/>
      <color theme="1"/>
      <name val="宋体"/>
      <family val="3"/>
      <charset val="134"/>
    </font>
  </fonts>
  <fills count="2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3"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rgb="FFFFFFFF"/>
        <bgColor indexed="64"/>
      </patternFill>
    </fill>
    <fill>
      <patternFill patternType="solid">
        <fgColor theme="6" tint="0.59999389629810485"/>
        <bgColor theme="4"/>
      </patternFill>
    </fill>
    <fill>
      <patternFill patternType="solid">
        <fgColor theme="6" tint="0.79998168889431442"/>
        <bgColor theme="4" tint="0.79998168889431442"/>
      </patternFill>
    </fill>
    <fill>
      <patternFill patternType="solid">
        <fgColor theme="3" tint="0.59999389629810485"/>
        <bgColor theme="4"/>
      </patternFill>
    </fill>
    <fill>
      <patternFill patternType="solid">
        <fgColor theme="4" tint="0.79998168889431442"/>
        <bgColor indexed="64"/>
      </patternFill>
    </fill>
    <fill>
      <patternFill patternType="solid">
        <fgColor theme="9" tint="0.79998168889431442"/>
        <bgColor theme="4" tint="0.79998168889431442"/>
      </patternFill>
    </fill>
    <fill>
      <patternFill patternType="solid">
        <fgColor theme="9" tint="0.59999389629810485"/>
        <bgColor theme="4"/>
      </patternFill>
    </fill>
    <fill>
      <patternFill patternType="solid">
        <fgColor theme="8" tint="0.59999389629810485"/>
        <bgColor theme="4"/>
      </patternFill>
    </fill>
    <fill>
      <patternFill patternType="solid">
        <fgColor theme="8" tint="0.79998168889431442"/>
        <bgColor theme="4" tint="0.79998168889431442"/>
      </patternFill>
    </fill>
    <fill>
      <patternFill patternType="solid">
        <fgColor theme="8" tint="0.79998168889431442"/>
        <bgColor theme="4"/>
      </patternFill>
    </fill>
  </fills>
  <borders count="4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bottom style="thin">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rgb="FF000000"/>
      </left>
      <right/>
      <top/>
      <bottom/>
      <diagonal/>
    </border>
    <border>
      <left style="thin">
        <color rgb="FF000000"/>
      </left>
      <right/>
      <top/>
      <bottom/>
      <diagonal/>
    </border>
    <border>
      <left style="medium">
        <color auto="1"/>
      </left>
      <right style="thin">
        <color auto="1"/>
      </right>
      <top style="thin">
        <color auto="1"/>
      </top>
      <bottom style="medium">
        <color auto="1"/>
      </bottom>
      <diagonal/>
    </border>
    <border>
      <left style="thin">
        <color auto="1"/>
      </left>
      <right style="thin">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theme="4"/>
      </left>
      <right/>
      <top style="thin">
        <color theme="4"/>
      </top>
      <bottom style="thin">
        <color theme="4"/>
      </bottom>
      <diagonal/>
    </border>
    <border>
      <left/>
      <right/>
      <top style="thin">
        <color theme="4"/>
      </top>
      <bottom/>
      <diagonal/>
    </border>
    <border>
      <left style="thin">
        <color theme="4"/>
      </left>
      <right/>
      <top style="thin">
        <color theme="4"/>
      </top>
      <bottom/>
      <diagonal/>
    </border>
    <border>
      <left/>
      <right/>
      <top style="medium">
        <color theme="4"/>
      </top>
      <bottom/>
      <diagonal/>
    </border>
    <border>
      <left style="thin">
        <color theme="4"/>
      </left>
      <right/>
      <top style="medium">
        <color theme="4"/>
      </top>
      <bottom/>
      <diagonal/>
    </border>
    <border>
      <left style="thin">
        <color theme="4"/>
      </left>
      <right/>
      <top style="thin">
        <color theme="4"/>
      </top>
      <bottom style="medium">
        <color theme="4"/>
      </bottom>
      <diagonal/>
    </border>
    <border>
      <left style="thin">
        <color theme="4"/>
      </left>
      <right/>
      <top/>
      <bottom/>
      <diagonal/>
    </border>
    <border>
      <left/>
      <right/>
      <top style="thin">
        <color theme="4"/>
      </top>
      <bottom style="medium">
        <color theme="4"/>
      </bottom>
      <diagonal/>
    </border>
  </borders>
  <cellStyleXfs count="1">
    <xf numFmtId="0" fontId="0" fillId="0" borderId="0"/>
  </cellStyleXfs>
  <cellXfs count="252">
    <xf numFmtId="0" fontId="0" fillId="0" borderId="0" xfId="0"/>
    <xf numFmtId="11" fontId="3" fillId="0" borderId="5"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0" fillId="0" borderId="6" xfId="0" applyBorder="1" applyAlignment="1">
      <alignment horizontal="center" vertical="center"/>
    </xf>
    <xf numFmtId="0" fontId="4" fillId="0" borderId="7" xfId="0" applyFont="1" applyBorder="1" applyAlignment="1">
      <alignment horizontal="center" vertical="center" wrapText="1"/>
    </xf>
    <xf numFmtId="11"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0" fillId="0" borderId="8"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4" fillId="0" borderId="2" xfId="0" applyFont="1" applyFill="1" applyBorder="1" applyAlignment="1">
      <alignment horizontal="center" vertical="center" wrapText="1"/>
    </xf>
    <xf numFmtId="0" fontId="0" fillId="0" borderId="3" xfId="0" applyBorder="1" applyAlignment="1">
      <alignment horizontal="center" vertical="center" wrapText="1"/>
    </xf>
    <xf numFmtId="0" fontId="6" fillId="0" borderId="5" xfId="0" applyFont="1" applyBorder="1" applyAlignment="1">
      <alignment horizontal="center" vertical="center" wrapText="1"/>
    </xf>
    <xf numFmtId="0" fontId="5" fillId="0" borderId="7" xfId="0" applyFont="1" applyBorder="1" applyAlignment="1">
      <alignment horizontal="center" vertical="center" wrapText="1"/>
    </xf>
    <xf numFmtId="0" fontId="6" fillId="0" borderId="7" xfId="0" applyFont="1" applyBorder="1" applyAlignment="1">
      <alignment horizontal="center" vertical="center" wrapText="1"/>
    </xf>
    <xf numFmtId="0" fontId="0" fillId="0" borderId="0" xfId="0" applyAlignment="1">
      <alignment vertical="center"/>
    </xf>
    <xf numFmtId="0" fontId="5" fillId="0" borderId="2" xfId="0" applyFont="1" applyBorder="1" applyAlignment="1">
      <alignment horizontal="center" vertical="center" wrapText="1"/>
    </xf>
    <xf numFmtId="0" fontId="0" fillId="0" borderId="3" xfId="0" applyBorder="1" applyAlignment="1">
      <alignment horizontal="center" vertical="center"/>
    </xf>
    <xf numFmtId="0" fontId="6" fillId="0" borderId="22" xfId="0" applyFont="1" applyBorder="1" applyAlignment="1">
      <alignment horizontal="center" vertical="center" wrapText="1"/>
    </xf>
    <xf numFmtId="3" fontId="6" fillId="0" borderId="22" xfId="0" applyNumberFormat="1" applyFont="1" applyBorder="1" applyAlignment="1">
      <alignment horizontal="center" vertical="center" wrapText="1"/>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5" fillId="0" borderId="24" xfId="0" applyFont="1" applyFill="1" applyBorder="1" applyAlignment="1">
      <alignment horizontal="center" vertical="center" wrapText="1"/>
    </xf>
    <xf numFmtId="0" fontId="0" fillId="0" borderId="25" xfId="0" applyBorder="1" applyAlignment="1">
      <alignment horizontal="center" vertical="center"/>
    </xf>
    <xf numFmtId="0" fontId="0" fillId="0" borderId="26" xfId="0" applyBorder="1" applyAlignment="1">
      <alignment horizontal="center" vertical="center"/>
    </xf>
    <xf numFmtId="0" fontId="5" fillId="0" borderId="0" xfId="0" applyFont="1" applyFill="1" applyBorder="1" applyAlignment="1">
      <alignment horizontal="center" vertical="center" wrapText="1"/>
    </xf>
    <xf numFmtId="0" fontId="0" fillId="2" borderId="0" xfId="0" applyFill="1"/>
    <xf numFmtId="0" fontId="0" fillId="0" borderId="0" xfId="0" applyFill="1"/>
    <xf numFmtId="0" fontId="4" fillId="0" borderId="10" xfId="0" applyFont="1" applyBorder="1" applyAlignment="1">
      <alignment vertical="center" wrapText="1"/>
    </xf>
    <xf numFmtId="0" fontId="4" fillId="2" borderId="29" xfId="0" applyFont="1" applyFill="1" applyBorder="1" applyAlignment="1">
      <alignment vertical="center" wrapText="1"/>
    </xf>
    <xf numFmtId="0" fontId="4" fillId="2" borderId="27" xfId="0" applyFont="1" applyFill="1" applyBorder="1" applyAlignment="1">
      <alignment vertical="center" wrapText="1"/>
    </xf>
    <xf numFmtId="0" fontId="4" fillId="2" borderId="28" xfId="0" applyFont="1" applyFill="1" applyBorder="1" applyAlignment="1">
      <alignment vertical="center" wrapText="1"/>
    </xf>
    <xf numFmtId="0" fontId="0" fillId="0" borderId="31" xfId="0" applyFill="1" applyBorder="1" applyAlignment="1">
      <alignment horizontal="center" vertical="center"/>
    </xf>
    <xf numFmtId="176" fontId="0" fillId="0" borderId="0" xfId="0" applyNumberFormat="1"/>
    <xf numFmtId="0" fontId="0" fillId="0" borderId="4" xfId="0" applyBorder="1"/>
    <xf numFmtId="0" fontId="0" fillId="2" borderId="5" xfId="0" applyFill="1" applyBorder="1"/>
    <xf numFmtId="0" fontId="0" fillId="3" borderId="5" xfId="0" applyFill="1" applyBorder="1"/>
    <xf numFmtId="0" fontId="0" fillId="3" borderId="6" xfId="0" applyFill="1" applyBorder="1"/>
    <xf numFmtId="0" fontId="0" fillId="0" borderId="32" xfId="0" applyBorder="1"/>
    <xf numFmtId="0" fontId="0" fillId="2" borderId="7" xfId="0" applyFill="1" applyBorder="1"/>
    <xf numFmtId="0" fontId="0" fillId="3" borderId="7" xfId="0" applyFill="1" applyBorder="1"/>
    <xf numFmtId="0" fontId="0" fillId="3" borderId="8" xfId="0" applyFill="1" applyBorder="1"/>
    <xf numFmtId="0" fontId="5" fillId="0" borderId="9"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Fill="1" applyBorder="1" applyAlignment="1">
      <alignment horizontal="center" vertical="center" wrapText="1"/>
    </xf>
    <xf numFmtId="0" fontId="0" fillId="0" borderId="9" xfId="0" applyBorder="1" applyAlignment="1">
      <alignment horizontal="center" vertical="center" wrapText="1"/>
    </xf>
    <xf numFmtId="0" fontId="0" fillId="0" borderId="0" xfId="0" applyAlignment="1"/>
    <xf numFmtId="1" fontId="0" fillId="0" borderId="0" xfId="0" applyNumberFormat="1"/>
    <xf numFmtId="0" fontId="0" fillId="0" borderId="9" xfId="0" applyBorder="1" applyAlignment="1">
      <alignment vertical="center"/>
    </xf>
    <xf numFmtId="0" fontId="4" fillId="0" borderId="33" xfId="0" applyFont="1" applyFill="1" applyBorder="1" applyAlignment="1">
      <alignment horizontal="center" vertical="center" wrapText="1"/>
    </xf>
    <xf numFmtId="0" fontId="0" fillId="0" borderId="7" xfId="0" applyBorder="1" applyAlignment="1">
      <alignment vertical="center"/>
    </xf>
    <xf numFmtId="0" fontId="8" fillId="0" borderId="0" xfId="0" applyFont="1"/>
    <xf numFmtId="0" fontId="0" fillId="0" borderId="0" xfId="0" applyAlignment="1">
      <alignment wrapText="1"/>
    </xf>
    <xf numFmtId="0" fontId="5" fillId="3" borderId="5" xfId="0" applyFont="1" applyFill="1" applyBorder="1" applyAlignment="1">
      <alignment horizontal="center" vertical="center" wrapText="1"/>
    </xf>
    <xf numFmtId="0" fontId="0" fillId="0" borderId="5" xfId="0" applyFill="1" applyBorder="1"/>
    <xf numFmtId="0" fontId="0" fillId="0" borderId="5" xfId="0" applyBorder="1"/>
    <xf numFmtId="0" fontId="0" fillId="0" borderId="5" xfId="0" applyBorder="1" applyAlignment="1">
      <alignment horizontal="center"/>
    </xf>
    <xf numFmtId="1" fontId="0" fillId="0" borderId="5" xfId="0" applyNumberFormat="1" applyFill="1" applyBorder="1"/>
    <xf numFmtId="0" fontId="0" fillId="0" borderId="6" xfId="0" applyBorder="1"/>
    <xf numFmtId="0" fontId="0" fillId="0" borderId="7" xfId="0" applyFill="1" applyBorder="1"/>
    <xf numFmtId="0" fontId="0" fillId="0" borderId="7" xfId="0" applyBorder="1"/>
    <xf numFmtId="0" fontId="5" fillId="3" borderId="7" xfId="0" applyFont="1" applyFill="1" applyBorder="1" applyAlignment="1">
      <alignment horizontal="center" vertical="center" wrapText="1"/>
    </xf>
    <xf numFmtId="0" fontId="0" fillId="0" borderId="7" xfId="0" applyBorder="1" applyAlignment="1">
      <alignment horizontal="center"/>
    </xf>
    <xf numFmtId="0" fontId="0" fillId="0" borderId="8" xfId="0" applyBorder="1"/>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0" xfId="0" applyFont="1" applyAlignment="1">
      <alignment horizontal="center" vertical="center" wrapText="1"/>
    </xf>
    <xf numFmtId="0" fontId="10" fillId="0" borderId="2" xfId="0" applyFont="1" applyFill="1" applyBorder="1" applyAlignment="1">
      <alignment horizontal="center" vertical="center" wrapText="1"/>
    </xf>
    <xf numFmtId="177" fontId="0" fillId="0" borderId="6" xfId="0" applyNumberFormat="1" applyBorder="1"/>
    <xf numFmtId="0" fontId="0" fillId="0" borderId="33" xfId="0" applyFill="1" applyBorder="1"/>
    <xf numFmtId="0" fontId="10"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18" xfId="0" applyFill="1" applyBorder="1" applyAlignment="1">
      <alignment horizontal="center" vertical="center"/>
    </xf>
    <xf numFmtId="0" fontId="13" fillId="0" borderId="19" xfId="0" applyFont="1" applyBorder="1" applyAlignment="1">
      <alignment horizontal="center" vertical="center" wrapText="1"/>
    </xf>
    <xf numFmtId="0" fontId="14"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0" fillId="0" borderId="21" xfId="0" applyFill="1" applyBorder="1" applyAlignment="1">
      <alignment horizontal="center" vertical="center"/>
    </xf>
    <xf numFmtId="0" fontId="14" fillId="0" borderId="22" xfId="0" applyFont="1" applyBorder="1" applyAlignment="1">
      <alignment horizontal="center" vertical="center"/>
    </xf>
    <xf numFmtId="0" fontId="14" fillId="0" borderId="23" xfId="0" applyFont="1" applyBorder="1" applyAlignment="1">
      <alignment horizontal="center" vertical="center"/>
    </xf>
    <xf numFmtId="0" fontId="0" fillId="0" borderId="24" xfId="0" applyFill="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5" fillId="0" borderId="22" xfId="0" applyFont="1" applyBorder="1" applyAlignment="1">
      <alignment horizontal="center" vertical="center"/>
    </xf>
    <xf numFmtId="49" fontId="15" fillId="0" borderId="22" xfId="0" applyNumberFormat="1" applyFont="1" applyBorder="1" applyAlignment="1">
      <alignment horizontal="center" vertical="center"/>
    </xf>
    <xf numFmtId="49" fontId="14" fillId="0" borderId="22" xfId="0" applyNumberFormat="1" applyFont="1" applyBorder="1" applyAlignment="1">
      <alignment horizontal="center" vertical="center"/>
    </xf>
    <xf numFmtId="9" fontId="14" fillId="0" borderId="22" xfId="0" applyNumberFormat="1" applyFont="1" applyBorder="1" applyAlignment="1">
      <alignment horizontal="center" vertical="center"/>
    </xf>
    <xf numFmtId="14" fontId="14" fillId="0" borderId="22" xfId="0" applyNumberFormat="1" applyFont="1" applyBorder="1" applyAlignment="1">
      <alignment horizontal="center" vertical="center"/>
    </xf>
    <xf numFmtId="0" fontId="5" fillId="0" borderId="33" xfId="0" applyFont="1" applyFill="1" applyBorder="1" applyAlignment="1">
      <alignment horizontal="center" vertical="center" wrapText="1"/>
    </xf>
    <xf numFmtId="0" fontId="16" fillId="0" borderId="19" xfId="0" applyFont="1" applyBorder="1" applyAlignment="1">
      <alignment horizontal="center" vertical="center" wrapText="1"/>
    </xf>
    <xf numFmtId="0" fontId="19" fillId="0" borderId="0" xfId="0" applyFont="1"/>
    <xf numFmtId="0" fontId="20" fillId="7" borderId="4"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2" fillId="0" borderId="0" xfId="0" applyFont="1"/>
    <xf numFmtId="0" fontId="20" fillId="9"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9" borderId="5" xfId="0" applyFont="1" applyFill="1" applyBorder="1" applyAlignment="1">
      <alignment horizontal="center" vertical="center" wrapText="1"/>
    </xf>
    <xf numFmtId="11" fontId="20" fillId="8" borderId="7" xfId="0" applyNumberFormat="1" applyFont="1" applyFill="1" applyBorder="1" applyAlignment="1">
      <alignment horizontal="center" vertical="center" wrapText="1"/>
    </xf>
    <xf numFmtId="0" fontId="20" fillId="7" borderId="7" xfId="0" applyFont="1" applyFill="1" applyBorder="1" applyAlignment="1">
      <alignment horizontal="center" vertical="center" wrapText="1"/>
    </xf>
    <xf numFmtId="178" fontId="20" fillId="8" borderId="5" xfId="0" applyNumberFormat="1" applyFont="1" applyFill="1" applyBorder="1" applyAlignment="1">
      <alignment horizontal="center" vertical="center" wrapText="1"/>
    </xf>
    <xf numFmtId="22" fontId="20" fillId="8" borderId="5" xfId="0" applyNumberFormat="1" applyFont="1" applyFill="1" applyBorder="1" applyAlignment="1">
      <alignment horizontal="center" vertical="center" wrapText="1"/>
    </xf>
    <xf numFmtId="179" fontId="20" fillId="8" borderId="5" xfId="0" applyNumberFormat="1" applyFont="1" applyFill="1" applyBorder="1" applyAlignment="1">
      <alignment horizontal="center" vertical="center" wrapText="1"/>
    </xf>
    <xf numFmtId="0" fontId="22" fillId="0" borderId="0" xfId="0" applyFont="1" applyFill="1"/>
    <xf numFmtId="0" fontId="20" fillId="2" borderId="37" xfId="0" applyFont="1" applyFill="1" applyBorder="1" applyAlignment="1">
      <alignment horizontal="center" vertical="center" wrapText="1"/>
    </xf>
    <xf numFmtId="2" fontId="20" fillId="8" borderId="37" xfId="0" applyNumberFormat="1" applyFont="1" applyFill="1" applyBorder="1" applyAlignment="1">
      <alignment horizontal="center" vertical="center" wrapText="1"/>
    </xf>
    <xf numFmtId="11" fontId="20" fillId="8" borderId="38" xfId="0" applyNumberFormat="1" applyFont="1" applyFill="1" applyBorder="1" applyAlignment="1">
      <alignment horizontal="center" vertical="center" wrapText="1"/>
    </xf>
    <xf numFmtId="0" fontId="22" fillId="0" borderId="0" xfId="0" applyFont="1" applyFill="1" applyBorder="1"/>
    <xf numFmtId="0" fontId="20" fillId="0" borderId="0" xfId="0" applyFont="1" applyFill="1" applyBorder="1" applyAlignment="1">
      <alignment horizontal="center" vertical="center" wrapText="1"/>
    </xf>
    <xf numFmtId="11" fontId="20" fillId="0" borderId="0" xfId="0" applyNumberFormat="1" applyFont="1" applyFill="1" applyBorder="1" applyAlignment="1">
      <alignment horizontal="center" vertical="center" wrapText="1"/>
    </xf>
    <xf numFmtId="14" fontId="19" fillId="0" borderId="0" xfId="0" applyNumberFormat="1" applyFont="1"/>
    <xf numFmtId="180" fontId="19" fillId="0" borderId="0" xfId="0" applyNumberFormat="1" applyFont="1"/>
    <xf numFmtId="0" fontId="0" fillId="10" borderId="0" xfId="0" applyFill="1"/>
    <xf numFmtId="14" fontId="24" fillId="10" borderId="0" xfId="0" applyNumberFormat="1" applyFont="1" applyFill="1" applyAlignment="1">
      <alignment vertical="center" wrapText="1"/>
    </xf>
    <xf numFmtId="0" fontId="23" fillId="10" borderId="0" xfId="0" applyFont="1" applyFill="1" applyAlignment="1">
      <alignment vertical="top" wrapText="1"/>
    </xf>
    <xf numFmtId="0" fontId="5" fillId="0" borderId="22" xfId="0" applyFont="1" applyBorder="1" applyAlignment="1">
      <alignment horizontal="center" vertical="center" wrapText="1"/>
    </xf>
    <xf numFmtId="0" fontId="5" fillId="0" borderId="21" xfId="0" applyFont="1" applyBorder="1" applyAlignment="1">
      <alignment horizontal="center" vertical="center" wrapText="1"/>
    </xf>
    <xf numFmtId="0" fontId="0" fillId="0" borderId="15" xfId="0" applyBorder="1" applyAlignment="1">
      <alignment horizontal="center" vertical="center" wrapText="1"/>
    </xf>
    <xf numFmtId="0" fontId="2" fillId="0" borderId="5" xfId="0" applyFont="1" applyBorder="1" applyAlignment="1">
      <alignment horizontal="center" vertical="center"/>
    </xf>
    <xf numFmtId="0" fontId="4" fillId="0" borderId="5" xfId="0" applyFont="1"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11" fontId="12" fillId="6" borderId="39" xfId="0" applyNumberFormat="1" applyFont="1" applyFill="1" applyBorder="1" applyAlignment="1" applyProtection="1">
      <alignment horizontal="center"/>
      <protection locked="0" hidden="1"/>
    </xf>
    <xf numFmtId="0" fontId="0" fillId="6" borderId="42" xfId="0" applyFont="1" applyFill="1" applyBorder="1" applyAlignment="1" applyProtection="1">
      <alignment horizontal="center" vertical="center"/>
      <protection locked="0" hidden="1"/>
    </xf>
    <xf numFmtId="0" fontId="10" fillId="4" borderId="43" xfId="0" applyFont="1" applyFill="1" applyBorder="1" applyAlignment="1" applyProtection="1">
      <protection locked="0" hidden="1"/>
    </xf>
    <xf numFmtId="0" fontId="10" fillId="4" borderId="43" xfId="0" applyFont="1" applyFill="1" applyBorder="1" applyAlignment="1" applyProtection="1">
      <alignment horizontal="center" vertical="center"/>
      <protection locked="0" hidden="1"/>
    </xf>
    <xf numFmtId="0" fontId="10" fillId="4" borderId="42" xfId="0" applyFont="1" applyFill="1" applyBorder="1" applyAlignment="1" applyProtection="1">
      <alignment horizontal="center" vertical="center"/>
      <protection locked="0" hidden="1"/>
    </xf>
    <xf numFmtId="0" fontId="10" fillId="14" borderId="43" xfId="0" applyFont="1" applyFill="1" applyBorder="1" applyAlignment="1" applyProtection="1">
      <alignment horizontal="center" vertical="center" wrapText="1"/>
      <protection locked="0" hidden="1"/>
    </xf>
    <xf numFmtId="0" fontId="10" fillId="14" borderId="42" xfId="0" applyFont="1" applyFill="1" applyBorder="1" applyAlignment="1" applyProtection="1">
      <alignment horizontal="center" vertical="center" wrapText="1"/>
      <protection locked="0" hidden="1"/>
    </xf>
    <xf numFmtId="0" fontId="10" fillId="2" borderId="43" xfId="0" applyFont="1" applyFill="1" applyBorder="1" applyAlignment="1" applyProtection="1">
      <alignment horizontal="center" vertical="center" wrapText="1"/>
      <protection locked="0" hidden="1"/>
    </xf>
    <xf numFmtId="0" fontId="10" fillId="2" borderId="42" xfId="0" applyFont="1" applyFill="1" applyBorder="1" applyAlignment="1" applyProtection="1">
      <alignment horizontal="center" vertical="center" wrapText="1"/>
      <protection locked="0" hidden="1"/>
    </xf>
    <xf numFmtId="0" fontId="10" fillId="2" borderId="0" xfId="0" applyFont="1" applyFill="1" applyBorder="1" applyAlignment="1" applyProtection="1">
      <alignment horizontal="center" vertical="center" wrapText="1"/>
      <protection locked="0" hidden="1"/>
    </xf>
    <xf numFmtId="0" fontId="0" fillId="3" borderId="41" xfId="0" applyFont="1" applyFill="1" applyBorder="1" applyAlignment="1" applyProtection="1">
      <alignment horizontal="center" vertical="center" wrapText="1"/>
      <protection locked="0" hidden="1"/>
    </xf>
    <xf numFmtId="0" fontId="0" fillId="3" borderId="40" xfId="0" applyFont="1" applyFill="1" applyBorder="1" applyAlignment="1" applyProtection="1">
      <alignment horizontal="center" vertical="center" wrapText="1"/>
      <protection locked="0" hidden="1"/>
    </xf>
    <xf numFmtId="0" fontId="0" fillId="3" borderId="0" xfId="0" applyFont="1" applyFill="1" applyBorder="1" applyAlignment="1" applyProtection="1">
      <alignment horizontal="center" vertical="center" wrapText="1"/>
      <protection locked="0" hidden="1"/>
    </xf>
    <xf numFmtId="0" fontId="0" fillId="6" borderId="43" xfId="0" applyFont="1" applyFill="1" applyBorder="1" applyProtection="1">
      <protection locked="0" hidden="1"/>
    </xf>
    <xf numFmtId="0" fontId="0" fillId="0" borderId="0" xfId="0" applyAlignment="1" applyProtection="1">
      <alignment wrapText="1"/>
      <protection locked="0" hidden="1"/>
    </xf>
    <xf numFmtId="0" fontId="0" fillId="0" borderId="0" xfId="0" applyProtection="1">
      <protection locked="0" hidden="1"/>
    </xf>
    <xf numFmtId="0" fontId="11" fillId="5" borderId="40" xfId="0" applyFont="1" applyFill="1" applyBorder="1" applyAlignment="1" applyProtection="1">
      <alignment horizontal="center" vertical="center" wrapText="1"/>
      <protection locked="0" hidden="1"/>
    </xf>
    <xf numFmtId="0" fontId="11" fillId="5" borderId="41" xfId="0" applyFont="1" applyFill="1" applyBorder="1" applyAlignment="1" applyProtection="1">
      <alignment horizontal="center" vertical="center" wrapText="1"/>
      <protection locked="0" hidden="1"/>
    </xf>
    <xf numFmtId="0" fontId="11" fillId="3" borderId="41" xfId="0" applyFont="1" applyFill="1" applyBorder="1" applyAlignment="1" applyProtection="1">
      <alignment horizontal="center" vertical="center" wrapText="1"/>
      <protection locked="0" hidden="1"/>
    </xf>
    <xf numFmtId="0" fontId="11" fillId="19" borderId="41" xfId="0" applyFont="1" applyFill="1" applyBorder="1" applyAlignment="1" applyProtection="1">
      <alignment horizontal="center" vertical="center" wrapText="1"/>
      <protection locked="0" hidden="1"/>
    </xf>
    <xf numFmtId="0" fontId="11" fillId="11" borderId="41" xfId="0" applyFont="1" applyFill="1" applyBorder="1" applyAlignment="1" applyProtection="1">
      <alignment horizontal="center" vertical="center" wrapText="1"/>
      <protection locked="0" hidden="1"/>
    </xf>
    <xf numFmtId="0" fontId="11" fillId="13" borderId="41" xfId="0" applyFont="1" applyFill="1" applyBorder="1" applyAlignment="1" applyProtection="1">
      <alignment horizontal="center" vertical="center" wrapText="1"/>
      <protection locked="0" hidden="1"/>
    </xf>
    <xf numFmtId="0" fontId="11" fillId="16" borderId="41" xfId="0" applyFont="1" applyFill="1" applyBorder="1" applyAlignment="1" applyProtection="1">
      <alignment horizontal="center" vertical="center" wrapText="1"/>
      <protection locked="0" hidden="1"/>
    </xf>
    <xf numFmtId="0" fontId="11" fillId="17" borderId="41" xfId="0" applyFont="1" applyFill="1" applyBorder="1" applyAlignment="1" applyProtection="1">
      <alignment horizontal="center" vertical="center" wrapText="1"/>
      <protection locked="0" hidden="1"/>
    </xf>
    <xf numFmtId="0" fontId="12" fillId="6" borderId="40" xfId="0" applyFont="1" applyFill="1" applyBorder="1" applyAlignment="1" applyProtection="1">
      <alignment horizontal="center" vertical="center"/>
      <protection locked="0" hidden="1"/>
    </xf>
    <xf numFmtId="0" fontId="12" fillId="6" borderId="41" xfId="0" applyFont="1" applyFill="1" applyBorder="1" applyAlignment="1" applyProtection="1">
      <alignment horizontal="center"/>
      <protection locked="0" hidden="1"/>
    </xf>
    <xf numFmtId="22" fontId="25" fillId="14" borderId="41" xfId="0" applyNumberFormat="1" applyFont="1" applyFill="1" applyBorder="1" applyAlignment="1" applyProtection="1">
      <alignment horizontal="center" vertical="center" wrapText="1"/>
      <protection locked="0" hidden="1"/>
    </xf>
    <xf numFmtId="0" fontId="12" fillId="4" borderId="41" xfId="0" applyFont="1" applyFill="1" applyBorder="1" applyAlignment="1" applyProtection="1">
      <alignment horizontal="center"/>
      <protection locked="0" hidden="1"/>
    </xf>
    <xf numFmtId="22" fontId="25" fillId="4" borderId="41" xfId="0" applyNumberFormat="1" applyFont="1" applyFill="1" applyBorder="1" applyAlignment="1" applyProtection="1">
      <alignment horizontal="center" vertical="center" wrapText="1"/>
      <protection locked="0" hidden="1"/>
    </xf>
    <xf numFmtId="0" fontId="12" fillId="12" borderId="41" xfId="0" applyFont="1" applyFill="1" applyBorder="1" applyAlignment="1" applyProtection="1">
      <alignment horizontal="center"/>
      <protection locked="0" hidden="1"/>
    </xf>
    <xf numFmtId="11" fontId="12" fillId="12" borderId="41" xfId="0" applyNumberFormat="1" applyFont="1" applyFill="1" applyBorder="1" applyAlignment="1" applyProtection="1">
      <alignment horizontal="center"/>
      <protection locked="0" hidden="1"/>
    </xf>
    <xf numFmtId="180" fontId="12" fillId="4" borderId="41" xfId="0" applyNumberFormat="1" applyFont="1" applyFill="1" applyBorder="1" applyAlignment="1" applyProtection="1">
      <alignment horizontal="center"/>
      <protection locked="0" hidden="1"/>
    </xf>
    <xf numFmtId="0" fontId="12" fillId="14" borderId="41" xfId="0" applyFont="1" applyFill="1" applyBorder="1" applyAlignment="1" applyProtection="1">
      <alignment horizontal="center"/>
      <protection locked="0" hidden="1"/>
    </xf>
    <xf numFmtId="179" fontId="25" fillId="14" borderId="41" xfId="0" applyNumberFormat="1" applyFont="1" applyFill="1" applyBorder="1" applyAlignment="1" applyProtection="1">
      <alignment horizontal="center" vertical="center" wrapText="1"/>
      <protection locked="0" hidden="1"/>
    </xf>
    <xf numFmtId="11" fontId="12" fillId="6" borderId="41" xfId="0" applyNumberFormat="1" applyFont="1" applyFill="1" applyBorder="1" applyAlignment="1" applyProtection="1">
      <alignment horizontal="center"/>
      <protection locked="0" hidden="1"/>
    </xf>
    <xf numFmtId="2" fontId="12" fillId="14" borderId="41" xfId="0" applyNumberFormat="1" applyFont="1" applyFill="1" applyBorder="1" applyAlignment="1" applyProtection="1">
      <alignment horizontal="center"/>
      <protection locked="0" hidden="1"/>
    </xf>
    <xf numFmtId="0" fontId="12" fillId="2" borderId="41" xfId="0" applyFont="1" applyFill="1" applyBorder="1" applyAlignment="1" applyProtection="1">
      <alignment horizontal="center"/>
      <protection locked="0" hidden="1"/>
    </xf>
    <xf numFmtId="22" fontId="25" fillId="2" borderId="41" xfId="0" applyNumberFormat="1" applyFont="1" applyFill="1" applyBorder="1" applyAlignment="1" applyProtection="1">
      <alignment horizontal="center" vertical="center" wrapText="1"/>
      <protection locked="0" hidden="1"/>
    </xf>
    <xf numFmtId="0" fontId="12" fillId="15" borderId="41" xfId="0" applyFont="1" applyFill="1" applyBorder="1" applyAlignment="1" applyProtection="1">
      <alignment horizontal="center"/>
      <protection locked="0" hidden="1"/>
    </xf>
    <xf numFmtId="11" fontId="12" fillId="15" borderId="41" xfId="0" applyNumberFormat="1" applyFont="1" applyFill="1" applyBorder="1" applyAlignment="1" applyProtection="1">
      <alignment horizontal="center"/>
      <protection locked="0" hidden="1"/>
    </xf>
    <xf numFmtId="2" fontId="12" fillId="2" borderId="41" xfId="0" applyNumberFormat="1" applyFont="1" applyFill="1" applyBorder="1" applyAlignment="1" applyProtection="1">
      <alignment horizontal="center"/>
      <protection locked="0" hidden="1"/>
    </xf>
    <xf numFmtId="0" fontId="12" fillId="3" borderId="41" xfId="0" applyFont="1" applyFill="1" applyBorder="1" applyAlignment="1" applyProtection="1">
      <alignment horizontal="center"/>
      <protection locked="0" hidden="1"/>
    </xf>
    <xf numFmtId="22" fontId="25" fillId="3" borderId="41" xfId="0" applyNumberFormat="1" applyFont="1" applyFill="1" applyBorder="1" applyAlignment="1" applyProtection="1">
      <alignment horizontal="center" vertical="center" wrapText="1"/>
      <protection locked="0" hidden="1"/>
    </xf>
    <xf numFmtId="0" fontId="12" fillId="18" borderId="41" xfId="0" applyFont="1" applyFill="1" applyBorder="1" applyAlignment="1" applyProtection="1">
      <alignment horizontal="center"/>
      <protection locked="0" hidden="1"/>
    </xf>
    <xf numFmtId="11" fontId="12" fillId="18" borderId="41" xfId="0" applyNumberFormat="1" applyFont="1" applyFill="1" applyBorder="1" applyAlignment="1" applyProtection="1">
      <alignment horizontal="center"/>
      <protection locked="0" hidden="1"/>
    </xf>
    <xf numFmtId="2" fontId="12" fillId="3" borderId="41" xfId="0" applyNumberFormat="1" applyFont="1" applyFill="1" applyBorder="1" applyAlignment="1" applyProtection="1">
      <alignment horizontal="center"/>
      <protection locked="0" hidden="1"/>
    </xf>
    <xf numFmtId="0" fontId="12" fillId="0" borderId="40" xfId="0" applyFont="1" applyBorder="1" applyAlignment="1" applyProtection="1">
      <alignment horizontal="center" vertical="center"/>
      <protection locked="0" hidden="1"/>
    </xf>
    <xf numFmtId="0" fontId="12" fillId="0" borderId="41" xfId="0" applyFont="1" applyBorder="1" applyAlignment="1" applyProtection="1">
      <alignment horizontal="center"/>
      <protection locked="0" hidden="1"/>
    </xf>
    <xf numFmtId="0" fontId="12" fillId="6" borderId="46" xfId="0" applyFont="1" applyFill="1" applyBorder="1" applyAlignment="1" applyProtection="1">
      <alignment horizontal="center" vertical="center"/>
      <protection locked="0" hidden="1"/>
    </xf>
    <xf numFmtId="0" fontId="12" fillId="6" borderId="44" xfId="0" applyFont="1" applyFill="1" applyBorder="1" applyAlignment="1" applyProtection="1">
      <alignment horizontal="center"/>
      <protection locked="0" hidden="1"/>
    </xf>
    <xf numFmtId="22" fontId="25" fillId="14" borderId="39" xfId="0" applyNumberFormat="1" applyFont="1" applyFill="1" applyBorder="1" applyAlignment="1" applyProtection="1">
      <alignment horizontal="center" vertical="center" wrapText="1"/>
      <protection locked="0" hidden="1"/>
    </xf>
    <xf numFmtId="0" fontId="12" fillId="4" borderId="44" xfId="0" applyFont="1" applyFill="1" applyBorder="1" applyAlignment="1" applyProtection="1">
      <alignment horizontal="center"/>
      <protection locked="0" hidden="1"/>
    </xf>
    <xf numFmtId="22" fontId="25" fillId="4" borderId="39" xfId="0" applyNumberFormat="1" applyFont="1" applyFill="1" applyBorder="1" applyAlignment="1" applyProtection="1">
      <alignment horizontal="center" vertical="center" wrapText="1"/>
      <protection locked="0" hidden="1"/>
    </xf>
    <xf numFmtId="0" fontId="12" fillId="12" borderId="39" xfId="0" applyFont="1" applyFill="1" applyBorder="1" applyAlignment="1" applyProtection="1">
      <alignment horizontal="center"/>
      <protection locked="0" hidden="1"/>
    </xf>
    <xf numFmtId="11" fontId="12" fillId="12" borderId="39" xfId="0" applyNumberFormat="1" applyFont="1" applyFill="1" applyBorder="1" applyAlignment="1" applyProtection="1">
      <alignment horizontal="center"/>
      <protection locked="0" hidden="1"/>
    </xf>
    <xf numFmtId="180" fontId="12" fillId="4" borderId="39" xfId="0" applyNumberFormat="1" applyFont="1" applyFill="1" applyBorder="1" applyAlignment="1" applyProtection="1">
      <alignment horizontal="center"/>
      <protection locked="0" hidden="1"/>
    </xf>
    <xf numFmtId="0" fontId="12" fillId="14" borderId="44" xfId="0" applyFont="1" applyFill="1" applyBorder="1" applyAlignment="1" applyProtection="1">
      <alignment horizontal="center"/>
      <protection locked="0" hidden="1"/>
    </xf>
    <xf numFmtId="0" fontId="12" fillId="14" borderId="39" xfId="0" applyFont="1" applyFill="1" applyBorder="1" applyAlignment="1" applyProtection="1">
      <alignment horizontal="center"/>
      <protection locked="0" hidden="1"/>
    </xf>
    <xf numFmtId="179" fontId="25" fillId="14" borderId="39" xfId="0" applyNumberFormat="1" applyFont="1" applyFill="1" applyBorder="1" applyAlignment="1" applyProtection="1">
      <alignment horizontal="center" vertical="center" wrapText="1"/>
      <protection locked="0" hidden="1"/>
    </xf>
    <xf numFmtId="0" fontId="12" fillId="6" borderId="39" xfId="0" applyFont="1" applyFill="1" applyBorder="1" applyAlignment="1" applyProtection="1">
      <alignment horizontal="center"/>
      <protection locked="0" hidden="1"/>
    </xf>
    <xf numFmtId="2" fontId="12" fillId="14" borderId="39" xfId="0" applyNumberFormat="1" applyFont="1" applyFill="1" applyBorder="1" applyAlignment="1" applyProtection="1">
      <alignment horizontal="center"/>
      <protection locked="0" hidden="1"/>
    </xf>
    <xf numFmtId="0" fontId="12" fillId="2" borderId="39" xfId="0" applyFont="1" applyFill="1" applyBorder="1" applyAlignment="1" applyProtection="1">
      <alignment horizontal="center"/>
      <protection locked="0" hidden="1"/>
    </xf>
    <xf numFmtId="22" fontId="25" fillId="2" borderId="39" xfId="0" applyNumberFormat="1" applyFont="1" applyFill="1" applyBorder="1" applyAlignment="1" applyProtection="1">
      <alignment horizontal="center" vertical="center" wrapText="1"/>
      <protection locked="0" hidden="1"/>
    </xf>
    <xf numFmtId="0" fontId="12" fillId="15" borderId="39" xfId="0" applyFont="1" applyFill="1" applyBorder="1" applyAlignment="1" applyProtection="1">
      <alignment horizontal="center"/>
      <protection locked="0" hidden="1"/>
    </xf>
    <xf numFmtId="11" fontId="12" fillId="15" borderId="39" xfId="0" applyNumberFormat="1" applyFont="1" applyFill="1" applyBorder="1" applyAlignment="1" applyProtection="1">
      <alignment horizontal="center"/>
      <protection locked="0" hidden="1"/>
    </xf>
    <xf numFmtId="2" fontId="12" fillId="2" borderId="39" xfId="0" applyNumberFormat="1" applyFont="1" applyFill="1" applyBorder="1" applyAlignment="1" applyProtection="1">
      <alignment horizontal="center"/>
      <protection locked="0" hidden="1"/>
    </xf>
    <xf numFmtId="0" fontId="12" fillId="3" borderId="39" xfId="0" applyFont="1" applyFill="1" applyBorder="1" applyAlignment="1" applyProtection="1">
      <alignment horizontal="center"/>
      <protection locked="0" hidden="1"/>
    </xf>
    <xf numFmtId="22" fontId="25" fillId="3" borderId="39" xfId="0" applyNumberFormat="1" applyFont="1" applyFill="1" applyBorder="1" applyAlignment="1" applyProtection="1">
      <alignment horizontal="center" vertical="center" wrapText="1"/>
      <protection locked="0" hidden="1"/>
    </xf>
    <xf numFmtId="0" fontId="12" fillId="18" borderId="39" xfId="0" applyFont="1" applyFill="1" applyBorder="1" applyAlignment="1" applyProtection="1">
      <alignment horizontal="center"/>
      <protection locked="0" hidden="1"/>
    </xf>
    <xf numFmtId="11" fontId="12" fillId="18" borderId="39" xfId="0" applyNumberFormat="1" applyFont="1" applyFill="1" applyBorder="1" applyAlignment="1" applyProtection="1">
      <alignment horizontal="center"/>
      <protection locked="0" hidden="1"/>
    </xf>
    <xf numFmtId="2" fontId="12" fillId="3" borderId="39" xfId="0" applyNumberFormat="1" applyFont="1" applyFill="1" applyBorder="1" applyAlignment="1" applyProtection="1">
      <alignment horizontal="center"/>
      <protection locked="0" hidden="1"/>
    </xf>
    <xf numFmtId="0" fontId="12" fillId="6" borderId="0" xfId="0" applyFont="1" applyFill="1" applyBorder="1" applyAlignment="1" applyProtection="1">
      <alignment horizontal="center" vertical="center"/>
      <protection locked="0" hidden="1"/>
    </xf>
    <xf numFmtId="0" fontId="12" fillId="6" borderId="45" xfId="0" applyFont="1" applyFill="1" applyBorder="1" applyAlignment="1" applyProtection="1">
      <alignment horizontal="center"/>
      <protection locked="0" hidden="1"/>
    </xf>
    <xf numFmtId="0" fontId="25" fillId="14" borderId="45" xfId="0" applyFont="1" applyFill="1" applyBorder="1" applyAlignment="1" applyProtection="1">
      <alignment horizontal="center" vertical="center" wrapText="1"/>
      <protection locked="0" hidden="1"/>
    </xf>
    <xf numFmtId="0" fontId="12" fillId="4" borderId="45" xfId="0" applyFont="1" applyFill="1" applyBorder="1" applyAlignment="1" applyProtection="1">
      <alignment horizontal="center"/>
      <protection locked="0" hidden="1"/>
    </xf>
    <xf numFmtId="0" fontId="25" fillId="4" borderId="45" xfId="0" applyFont="1" applyFill="1" applyBorder="1" applyAlignment="1" applyProtection="1">
      <alignment horizontal="center" vertical="center" wrapText="1"/>
      <protection locked="0" hidden="1"/>
    </xf>
    <xf numFmtId="0" fontId="12" fillId="12" borderId="45" xfId="0" applyFont="1" applyFill="1" applyBorder="1" applyAlignment="1" applyProtection="1">
      <alignment horizontal="center"/>
      <protection locked="0" hidden="1"/>
    </xf>
    <xf numFmtId="180" fontId="12" fillId="4" borderId="45" xfId="0" applyNumberFormat="1" applyFont="1" applyFill="1" applyBorder="1" applyAlignment="1" applyProtection="1">
      <alignment horizontal="center"/>
      <protection locked="0" hidden="1"/>
    </xf>
    <xf numFmtId="0" fontId="12" fillId="14" borderId="45" xfId="0" applyFont="1" applyFill="1" applyBorder="1" applyAlignment="1" applyProtection="1">
      <alignment horizontal="center"/>
      <protection locked="0" hidden="1"/>
    </xf>
    <xf numFmtId="2" fontId="12" fillId="14" borderId="45" xfId="0" applyNumberFormat="1" applyFont="1" applyFill="1" applyBorder="1" applyAlignment="1" applyProtection="1">
      <alignment horizontal="center"/>
      <protection locked="0" hidden="1"/>
    </xf>
    <xf numFmtId="0" fontId="12" fillId="2" borderId="45" xfId="0" applyFont="1" applyFill="1" applyBorder="1" applyAlignment="1" applyProtection="1">
      <alignment horizontal="center"/>
      <protection locked="0" hidden="1"/>
    </xf>
    <xf numFmtId="0" fontId="25" fillId="2" borderId="45" xfId="0" applyFont="1" applyFill="1" applyBorder="1" applyAlignment="1" applyProtection="1">
      <alignment horizontal="center" vertical="center" wrapText="1"/>
      <protection locked="0" hidden="1"/>
    </xf>
    <xf numFmtId="0" fontId="12" fillId="15" borderId="45" xfId="0" applyFont="1" applyFill="1" applyBorder="1" applyAlignment="1" applyProtection="1">
      <alignment horizontal="center"/>
      <protection locked="0" hidden="1"/>
    </xf>
    <xf numFmtId="2" fontId="12" fillId="2" borderId="45" xfId="0" applyNumberFormat="1" applyFont="1" applyFill="1" applyBorder="1" applyAlignment="1" applyProtection="1">
      <alignment horizontal="center"/>
      <protection locked="0" hidden="1"/>
    </xf>
    <xf numFmtId="0" fontId="12" fillId="3" borderId="45" xfId="0" applyFont="1" applyFill="1" applyBorder="1" applyAlignment="1" applyProtection="1">
      <alignment horizontal="center"/>
      <protection locked="0" hidden="1"/>
    </xf>
    <xf numFmtId="0" fontId="25" fillId="3" borderId="45" xfId="0" applyFont="1" applyFill="1" applyBorder="1" applyAlignment="1" applyProtection="1">
      <alignment horizontal="center" vertical="center" wrapText="1"/>
      <protection locked="0" hidden="1"/>
    </xf>
    <xf numFmtId="0" fontId="12" fillId="18" borderId="45" xfId="0" applyFont="1" applyFill="1" applyBorder="1" applyAlignment="1" applyProtection="1">
      <alignment horizontal="center"/>
      <protection locked="0" hidden="1"/>
    </xf>
    <xf numFmtId="2" fontId="12" fillId="3" borderId="45" xfId="0" applyNumberFormat="1" applyFont="1" applyFill="1" applyBorder="1" applyAlignment="1" applyProtection="1">
      <alignment horizontal="center"/>
      <protection locked="0" hidden="1"/>
    </xf>
    <xf numFmtId="11" fontId="12" fillId="6" borderId="45" xfId="0" applyNumberFormat="1" applyFont="1" applyFill="1" applyBorder="1" applyAlignment="1" applyProtection="1">
      <alignment horizontal="center"/>
      <protection locked="0" hidden="1"/>
    </xf>
    <xf numFmtId="0" fontId="0" fillId="0" borderId="0" xfId="0" applyAlignment="1" applyProtection="1">
      <alignment horizontal="left"/>
      <protection locked="0" hidden="1"/>
    </xf>
    <xf numFmtId="0" fontId="18" fillId="0" borderId="34"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36" xfId="0" applyFont="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30" xfId="0"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1" xfId="0" applyFont="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29" xfId="0" applyBorder="1" applyAlignment="1">
      <alignment horizontal="center" vertical="center"/>
    </xf>
    <xf numFmtId="0" fontId="0" fillId="0" borderId="10" xfId="0" applyBorder="1" applyAlignment="1">
      <alignment horizontal="center" vertical="center"/>
    </xf>
  </cellXfs>
  <cellStyles count="1">
    <cellStyle name="常规" xfId="0" builtinId="0"/>
  </cellStyles>
  <dxfs count="139">
    <dxf>
      <fill>
        <patternFill>
          <bgColor rgb="FFFFC000"/>
        </patternFill>
      </fill>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27" formatCode="yyyy/m/d\ h:mm"/>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27" formatCode="yyyy/m/d\ h:mm"/>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27" formatCode="yyyy/m/d\ h:mm"/>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2" formatCode="0.0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179" formatCode="yyyy/m/d\ h:mm;@"/>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numFmt numFmtId="180" formatCode="0.00_);[Red]\(0.00\)"/>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80" formatCode="0.00_);[Red]\(0.00\)"/>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80" formatCode="0.00_);[Red]\(0.00\)"/>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numFmt numFmtId="15" formatCode="0.00E+00"/>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6"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27" formatCode="yyyy/m/d\ h:mm"/>
      <fill>
        <patternFill patternType="solid">
          <fgColor indexed="64"/>
          <bgColor theme="6"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theme="1"/>
        <name val="宋体"/>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theme="1"/>
        <name val="宋体"/>
        <scheme val="none"/>
      </font>
      <numFmt numFmtId="27" formatCode="yyyy/m/d\ h:mm"/>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bottom/>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top style="thin">
          <color theme="4"/>
        </top>
        <bottom/>
        <vertical/>
        <horizontal/>
      </border>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1"/>
        <color auto="1"/>
        <name val="宋体"/>
        <scheme val="minor"/>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right/>
        <top style="thin">
          <color theme="4"/>
        </top>
        <bottom/>
        <vertical/>
        <horizontal/>
      </border>
      <protection locked="0" hidden="1"/>
    </dxf>
    <dxf>
      <protection locked="0" hidden="1"/>
    </dxf>
    <dxf>
      <border outline="0">
        <left style="medium">
          <color theme="4"/>
        </left>
        <right style="medium">
          <color theme="4"/>
        </right>
      </border>
    </dxf>
    <dxf>
      <protection locked="0" hidden="1"/>
    </dxf>
    <dxf>
      <font>
        <b val="0"/>
        <i val="0"/>
        <strike val="0"/>
        <condense val="0"/>
        <extend val="0"/>
        <outline val="0"/>
        <shadow val="0"/>
        <u val="none"/>
        <vertAlign val="baseline"/>
        <sz val="11"/>
        <color theme="1"/>
        <name val="宋体"/>
        <scheme val="minor"/>
      </font>
      <fill>
        <patternFill patternType="solid">
          <fgColor indexed="64"/>
          <bgColor theme="8" tint="0.79998168889431442"/>
        </patternFill>
      </fill>
      <alignment horizontal="center" vertical="center" textRotation="0" wrapText="1" indent="0" justifyLastLine="0" shrinkToFit="0" readingOrder="0"/>
      <protection locked="0" hidden="1"/>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id="7" name="表7" displayName="表7" ref="A1:BO13" totalsRowCount="1" headerRowDxfId="138" dataDxfId="137" totalsRowDxfId="135" tableBorderDxfId="136">
  <autoFilter ref="A1:BO12"/>
  <tableColumns count="67">
    <tableColumn id="1" name="列1" totalsRowLabel="汇总" dataDxfId="134" totalsRowDxfId="133"/>
    <tableColumn id="2" name="列2" dataDxfId="132" totalsRowDxfId="131"/>
    <tableColumn id="3" name="列3" dataDxfId="130" totalsRowDxfId="129"/>
    <tableColumn id="4" name="列4" dataDxfId="128" totalsRowDxfId="127"/>
    <tableColumn id="5" name="列5" dataDxfId="126" totalsRowDxfId="125"/>
    <tableColumn id="6" name="列6" dataDxfId="124" totalsRowDxfId="123"/>
    <tableColumn id="7" name="列7" dataDxfId="122" totalsRowDxfId="121"/>
    <tableColumn id="8" name="列8" dataDxfId="120" totalsRowDxfId="119"/>
    <tableColumn id="9" name="列9" dataDxfId="118" totalsRowDxfId="117"/>
    <tableColumn id="10" name="列10" dataDxfId="116" totalsRowDxfId="115"/>
    <tableColumn id="11" name="列11" dataDxfId="114" totalsRowDxfId="113">
      <calculatedColumnFormula>VLOOKUP($J2,基础数据!$O$6:$P$9,2,0)</calculatedColumnFormula>
    </tableColumn>
    <tableColumn id="12" name="列12" dataDxfId="112" totalsRowDxfId="111"/>
    <tableColumn id="13" name="列13" dataDxfId="110" totalsRowDxfId="109"/>
    <tableColumn id="14" name="列14" dataDxfId="108" totalsRowDxfId="107">
      <calculatedColumnFormula array="1">VLOOKUP($C2&amp;$D2,IF({1,0},基础数据!$B$3:$B$22&amp;基础数据!$C$3:$C$22,基础数据!$E$3:$E$22),2,0)</calculatedColumnFormula>
    </tableColumn>
    <tableColumn id="15" name="列15" dataDxfId="106" totalsRowDxfId="105">
      <calculatedColumnFormula array="1">VLOOKUP($C2&amp;$D2,IF({1,0},基础数据!$B$3:$B$22&amp;基础数据!$C$3:$C$22,基础数据!$G$3:$G$22),2,0)</calculatedColumnFormula>
    </tableColumn>
    <tableColumn id="16" name="列16" dataDxfId="104" totalsRowDxfId="103">
      <calculatedColumnFormula array="1">VLOOKUP($C2&amp;$D2,IF({1,0},基础数据!$B$3:$B$22&amp;基础数据!$C$3:$C$22,基础数据!$H$3:$H$22),2,0)*M2^VLOOKUP($C2&amp;$D2,IF({1,0},基础数据!$B$3:$B$22&amp;基础数据!$C$3:$C$22,基础数据!$I$3:$I$22),2,0)</calculatedColumnFormula>
    </tableColumn>
    <tableColumn id="17" name="列17" dataDxfId="102" totalsRowDxfId="101">
      <calculatedColumnFormula array="1">IF(M2&lt;10000,VLOOKUP($C2&amp;$D2&amp;$E2,IF({1,0},基础数据!$B$28:$B$51&amp;基础数据!$C$28:$C$51&amp;基础数据!$D$28:$D$51,基础数据!$E$28:$E$51),2,0),VLOOKUP($C2&amp;$D2&amp;$E2,IF({1,0},基础数据!$B$28:$B$51&amp;基础数据!$C$28:$C$51&amp;基础数据!$D$28:$D$51,基础数据!$F$28:$F$51),2,0))*IF($C2="石油炼制",IF($F2=0,1,$F2/($F2-$H2)),1)</calculatedColumnFormula>
    </tableColumn>
    <tableColumn id="18" name="列18" dataDxfId="100" totalsRowDxfId="99"/>
    <tableColumn id="19" name="列19" dataDxfId="98" totalsRowDxfId="97">
      <calculatedColumnFormula array="1">VLOOKUP($C2&amp;$D2&amp;$E2,IF({1,0},基础数据!$B$54:$B$79&amp;基础数据!$C$54:$C$79&amp;基础数据!$D$54:$D$79,基础数据!$E$54:$E$79),2,0)*IF($C2="石油炼制",IF($F2=0,1,$F2/($F2-$H2)),1)</calculatedColumnFormula>
    </tableColumn>
    <tableColumn id="20" name="列20" dataDxfId="96" totalsRowDxfId="95"/>
    <tableColumn id="21" name="列21" dataDxfId="94" totalsRowDxfId="93">
      <calculatedColumnFormula>IF($K2="二级",IF(M2&lt;1,N2,IF(M2&gt;=50000,O2,P2)),LOOKUP($K2,Q$3:S$3,Q2:S2))*T2</calculatedColumnFormula>
    </tableColumn>
    <tableColumn id="22" name="列22" dataDxfId="92" totalsRowDxfId="91">
      <calculatedColumnFormula>IF(I2="",((L2-DATE(YEAR(L2),1,1))*2+(Z2-L2)),(Z2-I2))/2*24</calculatedColumnFormula>
    </tableColumn>
    <tableColumn id="23" name="列23" totalsRowFunction="sum" dataDxfId="90" totalsRowDxfId="89">
      <calculatedColumnFormula>U2*V2</calculatedColumnFormula>
    </tableColumn>
    <tableColumn id="24" name="列24" dataDxfId="88" totalsRowDxfId="87"/>
    <tableColumn id="25" name="列25" dataDxfId="86" totalsRowDxfId="85">
      <calculatedColumnFormula>VLOOKUP($X2,基础数据!$O$6:$P$9,2,0)</calculatedColumnFormula>
    </tableColumn>
    <tableColumn id="26" name="列26" dataDxfId="84" totalsRowDxfId="83"/>
    <tableColumn id="27" name="列27" dataDxfId="82" totalsRowDxfId="81"/>
    <tableColumn id="28" name="列28" dataDxfId="80" totalsRowDxfId="79">
      <calculatedColumnFormula array="1">VLOOKUP($C2&amp;$D2,IF({1,0},基础数据!$B$3:$B$22&amp;基础数据!$C$3:$C$22,基础数据!$E$3:$E$22),2,0)</calculatedColumnFormula>
    </tableColumn>
    <tableColumn id="29" name="列29" dataDxfId="78" totalsRowDxfId="77">
      <calculatedColumnFormula array="1">VLOOKUP($C2&amp;$D2,IF({1,0},基础数据!$B$3:$B$22&amp;基础数据!$C$3:$C$22,基础数据!$G$3:$G$22),2,0)</calculatedColumnFormula>
    </tableColumn>
    <tableColumn id="30" name="列30" dataDxfId="76" totalsRowDxfId="75">
      <calculatedColumnFormula array="1">VLOOKUP($C2&amp;$D2,IF({1,0},基础数据!$B$3:$B$22&amp;基础数据!$C$3:$C$22,基础数据!$H$3:$H$22),2,0)*AA2^VLOOKUP($C2&amp;$D2,IF({1,0},基础数据!$B$3:$B$22&amp;基础数据!$C$3:$C$22,基础数据!$I$3:$I$22),2,0)</calculatedColumnFormula>
    </tableColumn>
    <tableColumn id="31" name="列31" dataDxfId="74" totalsRowDxfId="73">
      <calculatedColumnFormula array="1">IF(AA2&lt;10000,VLOOKUP($C2&amp;$D2&amp;$E2,IF({1,0},基础数据!$B$28:$B$51&amp;基础数据!$C$28:$C$51&amp;基础数据!$D$28:$D$51,基础数据!$E$28:$E$51),2,0),VLOOKUP($C2&amp;$D2&amp;$E2,IF({1,0},基础数据!$B$28:$B$51&amp;基础数据!$C$28:$C$51&amp;基础数据!$D$28:$D$51,基础数据!$F$28:$F$51),2,0))*IF($C2="石油炼制",IF($F2=0,1,$F2/($F2-$H2)),1)</calculatedColumnFormula>
    </tableColumn>
    <tableColumn id="32" name="列32" dataDxfId="72" totalsRowDxfId="71"/>
    <tableColumn id="33" name="列33" dataDxfId="70" totalsRowDxfId="69">
      <calculatedColumnFormula array="1">VLOOKUP($C2&amp;$D2&amp;$E2,IF({1,0},基础数据!$B$54:$B$79&amp;基础数据!$C$54:$C$79&amp;基础数据!$D$54:$D$79,基础数据!$E$54:$E$79),2,0)*IF($C2="石油炼制",IF($F2=0,1,$F2/($F2-$H2)),1)</calculatedColumnFormula>
    </tableColumn>
    <tableColumn id="34" name="列34" dataDxfId="68" totalsRowDxfId="67"/>
    <tableColumn id="35" name="列35" dataDxfId="66" totalsRowDxfId="65">
      <calculatedColumnFormula>IF($Y2="二级",IF(AA2&lt;1,AB2,IF(AA2&gt;=50000,AC2,AD2)),LOOKUP($Y2,AE$3:AG$3,AE2:AG2))*AH2</calculatedColumnFormula>
    </tableColumn>
    <tableColumn id="36" name="列36" dataDxfId="64" totalsRowDxfId="63">
      <calculatedColumnFormula>IF((D2="法兰")+(D2="连接件")+(D2="其他"),IF(BN2="",(DATE(YEAR(Z2)+1,1,1)-Z2)*2+(Z2-L2),(BN2-L2)),(AN2-L2))/2*24</calculatedColumnFormula>
    </tableColumn>
    <tableColumn id="37" name="列37" totalsRowFunction="sum" dataDxfId="62" totalsRowDxfId="61">
      <calculatedColumnFormula>AJ2*AI2</calculatedColumnFormula>
    </tableColumn>
    <tableColumn id="38" name="列38" dataDxfId="60" totalsRowDxfId="59"/>
    <tableColumn id="39" name="列39" dataDxfId="58" totalsRowDxfId="57">
      <calculatedColumnFormula>VLOOKUP($AL2,基础数据!$O$6:$P$9,2,0)</calculatedColumnFormula>
    </tableColumn>
    <tableColumn id="40" name="列40" dataDxfId="56" totalsRowDxfId="55"/>
    <tableColumn id="41" name="列41" dataDxfId="54" totalsRowDxfId="53"/>
    <tableColumn id="42" name="列42" dataDxfId="52" totalsRowDxfId="51">
      <calculatedColumnFormula array="1">VLOOKUP($C2&amp;$D2,IF({1,0},基础数据!$B$3:$B$22&amp;基础数据!$C$3:$C$22,基础数据!$E$3:$E$22),2,0)</calculatedColumnFormula>
    </tableColumn>
    <tableColumn id="43" name="列43" dataDxfId="50" totalsRowDxfId="49">
      <calculatedColumnFormula array="1">VLOOKUP($C2&amp;$D2,IF({1,0},基础数据!$B$3:$B$22&amp;基础数据!$C$3:$C$22,基础数据!$G$3:$G$22),2,0)</calculatedColumnFormula>
    </tableColumn>
    <tableColumn id="44" name="列44" dataDxfId="48" totalsRowDxfId="47">
      <calculatedColumnFormula array="1">VLOOKUP($C2&amp;$D2,IF({1,0},基础数据!$B$3:$B$22&amp;基础数据!$C$3:$C$22,基础数据!$H$3:$H$22),2,0)*AO2^VLOOKUP($C2&amp;$D2,IF({1,0},基础数据!$B$3:$B$22&amp;基础数据!$C$3:$C$22,基础数据!$I$3:$I$22),2,0)</calculatedColumnFormula>
    </tableColumn>
    <tableColumn id="45" name="列45" dataDxfId="46" totalsRowDxfId="45">
      <calculatedColumnFormula array="1">IF(AO2&lt;10000,VLOOKUP($C2&amp;$D2&amp;$E2,IF({1,0},基础数据!$B$28:$B$51&amp;基础数据!$C$28:$C$51&amp;基础数据!$D$28:$D$51,基础数据!$E$28:$E$51),2,0),VLOOKUP($C2&amp;$D2&amp;$E2,IF({1,0},基础数据!$B$28:$B$51&amp;基础数据!$C$28:$C$51&amp;基础数据!$D$28:$D$51,基础数据!$F$28:$F$51),2,0))*IF($C2="石油炼制",IF($F2=0,1,$F2/($F2-$H2)),1)</calculatedColumnFormula>
    </tableColumn>
    <tableColumn id="46" name="列46" dataDxfId="44" totalsRowDxfId="43"/>
    <tableColumn id="47" name="列47" dataDxfId="42" totalsRowDxfId="41">
      <calculatedColumnFormula array="1">VLOOKUP($C2&amp;$D2&amp;$E2,IF({1,0},基础数据!$B$54:$B$79&amp;基础数据!$C$54:$C$79&amp;基础数据!$D$54:$D$79,基础数据!$E$54:$E$79),2,0)*IF($C2="石油炼制",IF($F2=0,1,$F2/($F2-$H2)),1)</calculatedColumnFormula>
    </tableColumn>
    <tableColumn id="48" name="列48" dataDxfId="40" totalsRowDxfId="39"/>
    <tableColumn id="49" name="列49" dataDxfId="38" totalsRowDxfId="37">
      <calculatedColumnFormula>IF($AM2="二级",IF(AO2&lt;1,AP2,IF(AO2&gt;=50000,AQ2,AR2)),LOOKUP($AM2,AS$3:AU$3,AS2:AU2))*AV2</calculatedColumnFormula>
    </tableColumn>
    <tableColumn id="50" name="列50" dataDxfId="36" totalsRowDxfId="35">
      <calculatedColumnFormula>IF((D2="法兰")+(D2="连接件")+(D2="其他"),0,(BB2-Z2))/2*24</calculatedColumnFormula>
    </tableColumn>
    <tableColumn id="51" name="列51" totalsRowFunction="sum" dataDxfId="34" totalsRowDxfId="33">
      <calculatedColumnFormula>AW2*AX2</calculatedColumnFormula>
    </tableColumn>
    <tableColumn id="52" name="列52" dataDxfId="32" totalsRowDxfId="31"/>
    <tableColumn id="53" name="列53" dataDxfId="30" totalsRowDxfId="29">
      <calculatedColumnFormula>VLOOKUP($AZ2,基础数据!$O$6:$P$9,2,0)</calculatedColumnFormula>
    </tableColumn>
    <tableColumn id="54" name="列54" dataDxfId="28" totalsRowDxfId="27"/>
    <tableColumn id="55" name="列55" dataDxfId="26" totalsRowDxfId="25"/>
    <tableColumn id="56" name="列56" dataDxfId="24" totalsRowDxfId="23">
      <calculatedColumnFormula array="1">VLOOKUP($C2&amp;$D2,IF({1,0},基础数据!$B$3:$B$22&amp;基础数据!$C$3:$C$22,基础数据!$E$3:$E$22),2,0)</calculatedColumnFormula>
    </tableColumn>
    <tableColumn id="57" name="列57" dataDxfId="22" totalsRowDxfId="21">
      <calculatedColumnFormula array="1">VLOOKUP($C2&amp;$D2,IF({1,0},基础数据!$B$3:$B$22&amp;基础数据!$C$3:$C$22,基础数据!$G$3:$G$22),2,0)</calculatedColumnFormula>
    </tableColumn>
    <tableColumn id="58" name="列58" dataDxfId="20" totalsRowDxfId="19">
      <calculatedColumnFormula array="1">VLOOKUP($C2&amp;$D2,IF({1,0},基础数据!$B$3:$B$22&amp;基础数据!$C$3:$C$22,基础数据!$H$3:$H$22),2,0)*BC2^VLOOKUP($C2&amp;$D2,IF({1,0},基础数据!$B$3:$B$22&amp;基础数据!$C$3:$C$22,基础数据!$I$3:$I$22),2,0)</calculatedColumnFormula>
    </tableColumn>
    <tableColumn id="59" name="列59" dataDxfId="18" totalsRowDxfId="17">
      <calculatedColumnFormula array="1">IF(BC2&lt;10000,VLOOKUP($C2&amp;$D2&amp;$E2,IF({1,0},基础数据!$B$28:$B$51&amp;基础数据!$C$28:$C$51&amp;基础数据!$D$28:$D$51,基础数据!$E$28:$E$51),2,0),VLOOKUP($C2&amp;$D2&amp;$E2,IF({1,0},基础数据!$B$28:$B$51&amp;基础数据!$C$28:$C$51&amp;基础数据!$D$28:$D$51,基础数据!$F$28:$F$51),2,0))*IF($C2="石油炼制",IF($F2=0,1,$F2/($F2-$H2)),1)</calculatedColumnFormula>
    </tableColumn>
    <tableColumn id="60" name="列60" dataDxfId="16" totalsRowDxfId="15"/>
    <tableColumn id="61" name="列61" dataDxfId="14" totalsRowDxfId="13">
      <calculatedColumnFormula array="1">VLOOKUP($C2&amp;$D2&amp;$E2,IF({1,0},基础数据!$B$54:$B$79&amp;基础数据!$C$54:$C$79&amp;基础数据!$D$54:$D$79,基础数据!$E$54:$E$79),2,0)*IF($C2="石油炼制",IF($F2=0,1,$F2/($F2-$H2)),1)</calculatedColumnFormula>
    </tableColumn>
    <tableColumn id="62" name="列62" dataDxfId="12" totalsRowDxfId="11"/>
    <tableColumn id="63" name="列63" dataDxfId="10" totalsRowDxfId="9">
      <calculatedColumnFormula>IF($BA2="二级",IF(BC2&lt;1,BD2,IF(BC2&gt;=50000,BE2,BF2)),LOOKUP($BA2,BG$3:BI$3,BG2:BI2))*BJ2</calculatedColumnFormula>
    </tableColumn>
    <tableColumn id="64" name="列64" dataDxfId="8" totalsRowDxfId="7">
      <calculatedColumnFormula>IF((D2="法兰")+(D2="连接件")+(D2="其他"),0,IF(BN2="",(DATE(YEAR(BB2)+1,1,1)*2-BB2+(BB2-AN2)),(BN2-AN2))/2*24)</calculatedColumnFormula>
    </tableColumn>
    <tableColumn id="65" name="列65" totalsRowFunction="sum" dataDxfId="6" totalsRowDxfId="5">
      <calculatedColumnFormula>BL2*BK2</calculatedColumnFormula>
    </tableColumn>
    <tableColumn id="66" name="列66" dataDxfId="4" totalsRowDxfId="3"/>
    <tableColumn id="67" name="列67" totalsRowFunction="sum" dataDxfId="2" totalsRowDxfId="1">
      <calculatedColumnFormula>BL2*BK2+AX2*AW2+AJ2*AI2+V2*U2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cols>
    <col min="1" max="1" width="99.625" style="52" customWidth="1"/>
  </cols>
  <sheetData>
    <row r="1" spans="1:1" ht="283.5">
      <c r="A1" s="52" t="s">
        <v>338</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7"/>
  <sheetViews>
    <sheetView topLeftCell="B1" workbookViewId="0">
      <selection activeCell="E25" sqref="E25"/>
    </sheetView>
  </sheetViews>
  <sheetFormatPr defaultRowHeight="13.5"/>
  <cols>
    <col min="1" max="6" width="9" style="72"/>
    <col min="7" max="7" width="12.75" style="72" customWidth="1"/>
    <col min="8" max="8" width="9" style="72"/>
    <col min="9" max="9" width="14.625" style="72" customWidth="1"/>
    <col min="10" max="29" width="9" style="72"/>
    <col min="30" max="30" width="12.625" style="72" customWidth="1"/>
    <col min="31" max="16384" width="9" style="72"/>
  </cols>
  <sheetData>
    <row r="1" spans="1:34" ht="38.25">
      <c r="A1" s="73" t="s">
        <v>169</v>
      </c>
      <c r="B1" s="89" t="s">
        <v>211</v>
      </c>
      <c r="C1" s="74" t="s">
        <v>141</v>
      </c>
      <c r="D1" s="74" t="s">
        <v>142</v>
      </c>
      <c r="E1" s="74" t="s">
        <v>165</v>
      </c>
      <c r="F1" s="75" t="s">
        <v>172</v>
      </c>
      <c r="G1" s="74" t="s">
        <v>143</v>
      </c>
      <c r="H1" s="74" t="s">
        <v>166</v>
      </c>
      <c r="I1" s="74" t="s">
        <v>144</v>
      </c>
      <c r="J1" s="74" t="s">
        <v>145</v>
      </c>
      <c r="K1" s="89" t="s">
        <v>146</v>
      </c>
      <c r="L1" s="74" t="s">
        <v>147</v>
      </c>
      <c r="M1" s="74" t="s">
        <v>148</v>
      </c>
      <c r="N1" s="89" t="s">
        <v>149</v>
      </c>
      <c r="O1" s="75" t="s">
        <v>150</v>
      </c>
      <c r="P1" s="74" t="s">
        <v>151</v>
      </c>
      <c r="Q1" s="75" t="s">
        <v>152</v>
      </c>
      <c r="R1" s="89" t="s">
        <v>153</v>
      </c>
      <c r="S1" s="74" t="s">
        <v>154</v>
      </c>
      <c r="T1" s="89" t="s">
        <v>155</v>
      </c>
      <c r="U1" s="74" t="s">
        <v>156</v>
      </c>
      <c r="V1" s="74" t="s">
        <v>157</v>
      </c>
      <c r="W1" s="74" t="s">
        <v>158</v>
      </c>
      <c r="X1" s="74" t="s">
        <v>167</v>
      </c>
      <c r="Y1" s="74" t="s">
        <v>159</v>
      </c>
      <c r="Z1" s="74" t="s">
        <v>182</v>
      </c>
      <c r="AA1" s="74" t="s">
        <v>183</v>
      </c>
      <c r="AB1" s="89" t="s">
        <v>210</v>
      </c>
      <c r="AC1" s="74" t="s">
        <v>160</v>
      </c>
      <c r="AD1" s="89" t="s">
        <v>168</v>
      </c>
      <c r="AE1" s="74" t="s">
        <v>161</v>
      </c>
      <c r="AF1" s="74" t="s">
        <v>162</v>
      </c>
      <c r="AG1" s="74" t="s">
        <v>163</v>
      </c>
      <c r="AH1" s="76" t="s">
        <v>164</v>
      </c>
    </row>
    <row r="2" spans="1:34">
      <c r="A2" s="77">
        <v>1</v>
      </c>
      <c r="B2" s="84" t="s">
        <v>170</v>
      </c>
      <c r="C2" s="84" t="s">
        <v>171</v>
      </c>
      <c r="D2" s="84" t="s">
        <v>174</v>
      </c>
      <c r="E2" s="85">
        <v>2</v>
      </c>
      <c r="F2" s="85" t="s">
        <v>173</v>
      </c>
      <c r="G2" s="85" t="s">
        <v>175</v>
      </c>
      <c r="H2" s="85"/>
      <c r="I2" s="85" t="s">
        <v>175</v>
      </c>
      <c r="J2" s="85" t="s">
        <v>176</v>
      </c>
      <c r="K2" s="84" t="s">
        <v>177</v>
      </c>
      <c r="L2" s="78">
        <v>25</v>
      </c>
      <c r="M2" s="83" t="s">
        <v>178</v>
      </c>
      <c r="N2" s="83" t="s">
        <v>179</v>
      </c>
      <c r="O2" s="86">
        <v>1</v>
      </c>
      <c r="P2" s="86">
        <v>0</v>
      </c>
      <c r="Q2" s="86">
        <v>1</v>
      </c>
      <c r="R2" s="83" t="s">
        <v>180</v>
      </c>
      <c r="S2" s="78"/>
      <c r="T2" s="83" t="s">
        <v>181</v>
      </c>
      <c r="U2" s="83" t="s">
        <v>180</v>
      </c>
      <c r="V2" s="78"/>
      <c r="W2" s="78"/>
      <c r="X2" s="78"/>
      <c r="Y2" s="87">
        <v>40798</v>
      </c>
      <c r="Z2" s="78">
        <v>200</v>
      </c>
      <c r="AA2" s="78">
        <v>4</v>
      </c>
      <c r="AB2" s="78">
        <v>8000</v>
      </c>
      <c r="AC2" s="78"/>
      <c r="AD2" s="78">
        <v>63</v>
      </c>
      <c r="AE2" s="87">
        <v>41952</v>
      </c>
      <c r="AF2" s="78"/>
      <c r="AG2" s="78"/>
      <c r="AH2" s="79"/>
    </row>
    <row r="3" spans="1:34">
      <c r="A3" s="77">
        <v>2</v>
      </c>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9"/>
    </row>
    <row r="4" spans="1:34">
      <c r="A4" s="77">
        <v>3</v>
      </c>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9"/>
    </row>
    <row r="5" spans="1:34" ht="14.25" thickBot="1">
      <c r="A5" s="80">
        <v>4</v>
      </c>
      <c r="B5" s="81"/>
      <c r="C5" s="81"/>
      <c r="D5" s="81"/>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2"/>
    </row>
    <row r="6" spans="1:34">
      <c r="B6" s="71"/>
      <c r="C6" s="71"/>
      <c r="D6" s="71"/>
      <c r="E6" s="71"/>
      <c r="F6" s="71"/>
    </row>
    <row r="7" spans="1:34">
      <c r="B7" s="25"/>
      <c r="C7" s="25"/>
      <c r="D7" s="25"/>
    </row>
    <row r="8" spans="1:34">
      <c r="B8" s="25"/>
      <c r="C8" s="25"/>
      <c r="D8" s="25"/>
    </row>
    <row r="9" spans="1:34">
      <c r="B9" s="25"/>
      <c r="C9" s="25"/>
      <c r="D9" s="25"/>
    </row>
    <row r="10" spans="1:34">
      <c r="B10" s="25"/>
      <c r="C10" s="25"/>
      <c r="D10" s="25"/>
    </row>
    <row r="11" spans="1:34">
      <c r="B11" s="25"/>
      <c r="C11" s="25"/>
      <c r="D11" s="25"/>
    </row>
    <row r="12" spans="1:34">
      <c r="B12" s="25"/>
      <c r="C12" s="25"/>
      <c r="D12" s="25"/>
    </row>
    <row r="13" spans="1:34">
      <c r="B13" s="25"/>
      <c r="C13" s="25"/>
      <c r="D13" s="25"/>
    </row>
    <row r="14" spans="1:34">
      <c r="B14" s="25"/>
      <c r="C14" s="25"/>
      <c r="D14" s="25"/>
    </row>
    <row r="15" spans="1:34">
      <c r="B15" s="25"/>
      <c r="C15" s="25"/>
      <c r="D15" s="25"/>
    </row>
    <row r="16" spans="1:34">
      <c r="B16" s="25"/>
      <c r="C16" s="25"/>
      <c r="D16" s="25"/>
    </row>
    <row r="17" spans="2:4">
      <c r="B17" s="25"/>
      <c r="C17" s="25"/>
      <c r="D17" s="25"/>
    </row>
  </sheetData>
  <phoneticPr fontId="1" type="noConversion"/>
  <dataValidations disablePrompts="1" count="4">
    <dataValidation type="list" allowBlank="1" showInputMessage="1" showErrorMessage="1" sqref="C7:C17">
      <formula1>INDIRECT("三级"&amp;B7)</formula1>
    </dataValidation>
    <dataValidation type="list" allowBlank="1" showInputMessage="1" showErrorMessage="1" sqref="B7:B17">
      <formula1>三级设备</formula1>
    </dataValidation>
    <dataValidation type="list" allowBlank="1" showInputMessage="1" showErrorMessage="1" sqref="C6">
      <formula1>"气体,轻液体,重液体"</formula1>
    </dataValidation>
    <dataValidation type="list" allowBlank="1" showInputMessage="1" showErrorMessage="1" sqref="B6">
      <formula1>"阀门,泵,压缩机,安全阀,接头,开口管线,采样接口"</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zoomScale="85" zoomScaleNormal="85" workbookViewId="0">
      <selection activeCell="H7" sqref="H7"/>
    </sheetView>
  </sheetViews>
  <sheetFormatPr defaultColWidth="0" defaultRowHeight="20.25" zeroHeight="1"/>
  <cols>
    <col min="1" max="1" width="14.875" style="90" customWidth="1"/>
    <col min="2" max="2" width="12.625" style="90" customWidth="1"/>
    <col min="3" max="3" width="18.625" style="90" customWidth="1"/>
    <col min="4" max="4" width="25.125" style="90" customWidth="1"/>
    <col min="5" max="5" width="26" style="90" customWidth="1"/>
    <col min="6" max="6" width="24.875" style="90" customWidth="1"/>
    <col min="7" max="7" width="18.375" style="90" customWidth="1"/>
    <col min="8" max="8" width="22" style="90" customWidth="1"/>
    <col min="9" max="9" width="9" style="90" hidden="1" customWidth="1"/>
    <col min="10" max="15" width="0" style="90" hidden="1" customWidth="1"/>
    <col min="16" max="16384" width="9" style="90" hidden="1"/>
  </cols>
  <sheetData>
    <row r="1" spans="1:11" ht="35.1" customHeight="1">
      <c r="A1" s="215" t="s">
        <v>226</v>
      </c>
      <c r="B1" s="216"/>
      <c r="C1" s="216"/>
      <c r="D1" s="216"/>
      <c r="E1" s="216"/>
      <c r="F1" s="216"/>
      <c r="G1" s="216"/>
      <c r="H1" s="217"/>
    </row>
    <row r="2" spans="1:11" s="96" customFormat="1" ht="35.1" customHeight="1">
      <c r="A2" s="91" t="s">
        <v>215</v>
      </c>
      <c r="B2" s="92"/>
      <c r="C2" s="93" t="s">
        <v>214</v>
      </c>
      <c r="D2" s="94" t="s">
        <v>118</v>
      </c>
      <c r="E2" s="91" t="s">
        <v>218</v>
      </c>
      <c r="F2" s="94" t="s">
        <v>134</v>
      </c>
      <c r="G2" s="93" t="s">
        <v>216</v>
      </c>
      <c r="H2" s="94" t="s">
        <v>197</v>
      </c>
    </row>
    <row r="3" spans="1:11" s="96" customFormat="1" ht="35.1" customHeight="1">
      <c r="A3" s="93" t="s">
        <v>217</v>
      </c>
      <c r="B3" s="95" t="s">
        <v>33</v>
      </c>
      <c r="C3" s="97" t="s">
        <v>219</v>
      </c>
      <c r="D3" s="98"/>
      <c r="E3" s="99" t="s">
        <v>220</v>
      </c>
      <c r="F3" s="98"/>
      <c r="G3" s="99" t="s">
        <v>221</v>
      </c>
      <c r="H3" s="106"/>
      <c r="I3" s="109"/>
      <c r="J3" s="109"/>
      <c r="K3" s="105"/>
    </row>
    <row r="4" spans="1:11" s="96" customFormat="1" ht="35.1" customHeight="1" thickBot="1">
      <c r="A4" s="91" t="s">
        <v>228</v>
      </c>
      <c r="B4" s="94">
        <v>64</v>
      </c>
      <c r="C4" s="93" t="s">
        <v>229</v>
      </c>
      <c r="D4" s="100">
        <f>数据计算!U4</f>
        <v>1.4562021109359083E-4</v>
      </c>
      <c r="E4" s="93" t="s">
        <v>233</v>
      </c>
      <c r="F4" s="103">
        <v>42067.34375</v>
      </c>
      <c r="G4" s="102" t="s">
        <v>237</v>
      </c>
      <c r="H4" s="107">
        <f>IF(F8="",((F4-DATE(YEAR(F4),1,1))+(F5-F4)),(F5-F8))/2*24</f>
        <v>2614.1499999999942</v>
      </c>
      <c r="I4" s="109"/>
      <c r="J4" s="109"/>
      <c r="K4" s="105"/>
    </row>
    <row r="5" spans="1:11" s="96" customFormat="1" ht="35.1" customHeight="1" thickBot="1">
      <c r="A5" s="91" t="s">
        <v>230</v>
      </c>
      <c r="B5" s="94">
        <v>200</v>
      </c>
      <c r="C5" s="93" t="s">
        <v>229</v>
      </c>
      <c r="D5" s="100">
        <f>数据计算!U5</f>
        <v>1.1848998450411819E-3</v>
      </c>
      <c r="E5" s="93" t="s">
        <v>234</v>
      </c>
      <c r="F5" s="104">
        <v>42174.444444444445</v>
      </c>
      <c r="G5" s="102" t="s">
        <v>238</v>
      </c>
      <c r="H5" s="107">
        <f>IF((H2="法兰")+(H2="连接件")+(H2="其他"),IF(H8="",(DATE(YEAR(F5)+1,1,1)-F5+(F5-F4))*2,(H8-F4)),(F6-F4))/2*24</f>
        <v>2232.4999999999709</v>
      </c>
      <c r="I5" s="109"/>
      <c r="J5" s="109"/>
      <c r="K5" s="105"/>
    </row>
    <row r="6" spans="1:11" s="96" customFormat="1" ht="35.1" customHeight="1" thickBot="1">
      <c r="A6" s="91" t="s">
        <v>231</v>
      </c>
      <c r="B6" s="94">
        <v>340</v>
      </c>
      <c r="C6" s="93" t="s">
        <v>229</v>
      </c>
      <c r="D6" s="100">
        <f>数据计算!U6</f>
        <v>9.0767894367881085E-5</v>
      </c>
      <c r="E6" s="93" t="s">
        <v>235</v>
      </c>
      <c r="F6" s="103">
        <v>42253.385416666664</v>
      </c>
      <c r="G6" s="102" t="s">
        <v>239</v>
      </c>
      <c r="H6" s="107">
        <f>IF((H2="法兰")+(H2="连接件")+(H2="其他"),0,(F7-F5))/2*24</f>
        <v>1813.9666666666162</v>
      </c>
      <c r="I6" s="109"/>
      <c r="J6" s="109"/>
      <c r="K6" s="105"/>
    </row>
    <row r="7" spans="1:11" s="96" customFormat="1" ht="35.1" customHeight="1" thickBot="1">
      <c r="A7" s="91" t="s">
        <v>232</v>
      </c>
      <c r="B7" s="94">
        <v>1300</v>
      </c>
      <c r="C7" s="93" t="s">
        <v>229</v>
      </c>
      <c r="D7" s="100">
        <f>数据计算!U7</f>
        <v>1.2255404517520199E-4</v>
      </c>
      <c r="E7" s="93" t="s">
        <v>236</v>
      </c>
      <c r="F7" s="103">
        <v>42325.60833333333</v>
      </c>
      <c r="G7" s="102" t="s">
        <v>240</v>
      </c>
      <c r="H7" s="107">
        <f>IF((H2="法兰")+(H2="连接件")+(H2="其他"),0,IF(H8="",(DATE(YEAR(F7)+1,1,1)*2-F7+(F7-F6)),(H8-F6))/2*24)</f>
        <v>1862.2749999999942</v>
      </c>
      <c r="I7" s="109"/>
      <c r="J7" s="109"/>
      <c r="K7" s="105"/>
    </row>
    <row r="8" spans="1:11" s="96" customFormat="1" ht="35.1" customHeight="1" thickBot="1">
      <c r="A8" s="93" t="s">
        <v>223</v>
      </c>
      <c r="B8" s="94"/>
      <c r="C8" s="93" t="s">
        <v>243</v>
      </c>
      <c r="D8" s="100"/>
      <c r="E8" s="91" t="s">
        <v>241</v>
      </c>
      <c r="F8" s="103">
        <v>41956.598611111112</v>
      </c>
      <c r="G8" s="91" t="s">
        <v>242</v>
      </c>
      <c r="H8" s="103">
        <v>42408.574999999997</v>
      </c>
      <c r="I8" s="110"/>
      <c r="J8" s="111"/>
      <c r="K8" s="105"/>
    </row>
    <row r="9" spans="1:11" ht="35.1" customHeight="1" thickBot="1">
      <c r="G9" s="101" t="s">
        <v>227</v>
      </c>
      <c r="H9" s="108" t="e">
        <f>数据计算!#REF!</f>
        <v>#REF!</v>
      </c>
    </row>
    <row r="10" spans="1:11">
      <c r="C10" s="115"/>
      <c r="F10" s="112"/>
    </row>
    <row r="11" spans="1:11">
      <c r="C11" s="116"/>
      <c r="D11" s="113"/>
      <c r="E11" s="113"/>
    </row>
    <row r="12" spans="1:11" ht="20.25" hidden="1" customHeight="1">
      <c r="C12" s="114"/>
    </row>
    <row r="13" spans="1:11" ht="20.25" hidden="1" customHeight="1">
      <c r="C13" s="114"/>
    </row>
  </sheetData>
  <mergeCells count="1">
    <mergeCell ref="A1:H1"/>
  </mergeCells>
  <phoneticPr fontId="1" type="noConversion"/>
  <dataValidations count="8">
    <dataValidation type="list" allowBlank="1" showInputMessage="1" showErrorMessage="1" sqref="D2">
      <formula1>"石油炼制,石油化工"</formula1>
    </dataValidation>
    <dataValidation type="list" allowBlank="1" showInputMessage="1" showErrorMessage="1" sqref="F2">
      <formula1>核算方法</formula1>
    </dataValidation>
    <dataValidation allowBlank="1" showInputMessage="1" showErrorMessage="1" prompt="选填" sqref="D3 H3 F3"/>
    <dataValidation allowBlank="1" showInputMessage="1" showErrorMessage="1" prompt="如果为包袋法测量结果，请输入排放速率。" sqref="B8"/>
    <dataValidation allowBlank="1" showInputMessage="1" showErrorMessage="1" prompt="相关方程法请输入检测值" sqref="B4:B7"/>
    <dataValidation allowBlank="1" showInputMessage="1" showErrorMessage="1" prompt="年/月/日 时:分" sqref="H8 F4:F8"/>
    <dataValidation type="list" allowBlank="1" showInputMessage="1" showErrorMessage="1" sqref="H2">
      <formula1>IF(F2="平均排放系数法",INDIRECT("四级设备"),IF(F2="筛选范围法",INDIRECT("三级设备"),INDIRECT("二级"&amp;D2)))</formula1>
    </dataValidation>
    <dataValidation type="list" allowBlank="1" showInputMessage="1" showErrorMessage="1" sqref="B3">
      <formula1>IF(F2="实测法","所有",IF(F2="相关方程法",INDIRECT("二级"&amp;D2&amp;H2),INDIRECT("四级"&amp;H2)))</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O20"/>
  <sheetViews>
    <sheetView tabSelected="1" topLeftCell="A2" workbookViewId="0">
      <selection activeCell="M4" sqref="M4"/>
    </sheetView>
  </sheetViews>
  <sheetFormatPr defaultRowHeight="13.5"/>
  <cols>
    <col min="1" max="1" width="6.75" style="140" customWidth="1"/>
    <col min="2" max="2" width="7.25" style="140" customWidth="1"/>
    <col min="3" max="3" width="9" style="140" customWidth="1"/>
    <col min="4" max="4" width="12.75" style="140" customWidth="1"/>
    <col min="5" max="5" width="8.25" style="140" customWidth="1"/>
    <col min="6" max="6" width="7.75" style="140" customWidth="1"/>
    <col min="7" max="7" width="9.25" style="140" customWidth="1"/>
    <col min="8" max="8" width="9.125" style="140" customWidth="1"/>
    <col min="9" max="9" width="19.5" style="140" customWidth="1"/>
    <col min="10" max="10" width="15.5" style="140" customWidth="1"/>
    <col min="11" max="11" width="10.75" style="140" hidden="1" customWidth="1"/>
    <col min="12" max="12" width="16.375" style="140" customWidth="1"/>
    <col min="13" max="13" width="11.125" style="140" customWidth="1"/>
    <col min="14" max="14" width="10.75" style="140" hidden="1" customWidth="1"/>
    <col min="15" max="15" width="11" style="140" hidden="1" customWidth="1"/>
    <col min="16" max="16" width="12.75" style="140" hidden="1" customWidth="1"/>
    <col min="17" max="17" width="9" style="140" hidden="1" customWidth="1"/>
    <col min="18" max="18" width="9.5" style="140" customWidth="1"/>
    <col min="19" max="19" width="9" style="140" hidden="1" customWidth="1"/>
    <col min="20" max="20" width="8.125" style="140" customWidth="1"/>
    <col min="21" max="21" width="15.625" style="140" customWidth="1"/>
    <col min="22" max="22" width="9.625" style="140" customWidth="1"/>
    <col min="23" max="23" width="10.875" style="140" customWidth="1"/>
    <col min="24" max="24" width="15.5" style="140" customWidth="1"/>
    <col min="25" max="25" width="10.75" style="140" hidden="1" customWidth="1"/>
    <col min="26" max="26" width="17.25" style="140" bestFit="1" customWidth="1"/>
    <col min="27" max="27" width="11.125" style="140" customWidth="1"/>
    <col min="28" max="28" width="10.75" style="140" hidden="1" customWidth="1"/>
    <col min="29" max="29" width="11" style="140" hidden="1" customWidth="1"/>
    <col min="30" max="30" width="12.75" style="140" hidden="1" customWidth="1"/>
    <col min="31" max="31" width="9" style="140" hidden="1" customWidth="1"/>
    <col min="32" max="32" width="9.5" style="140" bestFit="1" customWidth="1"/>
    <col min="33" max="33" width="9" style="140" hidden="1" customWidth="1"/>
    <col min="34" max="34" width="8.125" style="140" customWidth="1"/>
    <col min="35" max="35" width="15.625" style="140" customWidth="1"/>
    <col min="36" max="37" width="9.625" style="140" customWidth="1"/>
    <col min="38" max="38" width="15.5" style="140" customWidth="1"/>
    <col min="39" max="39" width="10.75" style="140" hidden="1" customWidth="1"/>
    <col min="40" max="40" width="16.375" style="140" bestFit="1" customWidth="1"/>
    <col min="41" max="41" width="11.125" style="140" customWidth="1"/>
    <col min="42" max="42" width="10.75" style="140" hidden="1" customWidth="1"/>
    <col min="43" max="43" width="11" style="140" hidden="1" customWidth="1"/>
    <col min="44" max="44" width="12.75" style="140" hidden="1" customWidth="1"/>
    <col min="45" max="45" width="9" style="140" hidden="1" customWidth="1"/>
    <col min="46" max="46" width="9.5" style="140" bestFit="1" customWidth="1"/>
    <col min="47" max="47" width="9" style="140" hidden="1" customWidth="1"/>
    <col min="48" max="48" width="8.125" style="140" customWidth="1"/>
    <col min="49" max="49" width="15.625" style="140" customWidth="1"/>
    <col min="50" max="51" width="9.625" style="140" customWidth="1"/>
    <col min="52" max="52" width="15.5" style="140" customWidth="1"/>
    <col min="53" max="53" width="10.75" style="140" hidden="1" customWidth="1"/>
    <col min="54" max="54" width="18.375" style="140" bestFit="1" customWidth="1"/>
    <col min="55" max="55" width="11.125" style="140" customWidth="1"/>
    <col min="56" max="56" width="10.75" style="140" hidden="1" customWidth="1"/>
    <col min="57" max="57" width="11" style="140" hidden="1" customWidth="1"/>
    <col min="58" max="58" width="12.75" style="140" hidden="1" customWidth="1"/>
    <col min="59" max="59" width="9" style="140" hidden="1" customWidth="1"/>
    <col min="60" max="60" width="9.5" style="140" bestFit="1" customWidth="1"/>
    <col min="61" max="61" width="9" style="140" hidden="1" customWidth="1"/>
    <col min="62" max="62" width="8.125" style="140" customWidth="1"/>
    <col min="63" max="63" width="15.625" style="140" customWidth="1"/>
    <col min="64" max="65" width="9.625" style="140" customWidth="1"/>
    <col min="66" max="66" width="17" style="140" customWidth="1"/>
    <col min="67" max="67" width="19.875" style="140" customWidth="1"/>
    <col min="68" max="16384" width="9" style="140"/>
  </cols>
  <sheetData>
    <row r="1" spans="1:67" s="139" customFormat="1" ht="26.25" hidden="1" customHeight="1" thickBot="1">
      <c r="A1" s="126" t="s">
        <v>264</v>
      </c>
      <c r="B1" s="126" t="s">
        <v>265</v>
      </c>
      <c r="C1" s="126" t="s">
        <v>266</v>
      </c>
      <c r="D1" s="126" t="s">
        <v>267</v>
      </c>
      <c r="E1" s="126" t="s">
        <v>268</v>
      </c>
      <c r="F1" s="126" t="s">
        <v>269</v>
      </c>
      <c r="G1" s="126" t="s">
        <v>270</v>
      </c>
      <c r="H1" s="126" t="s">
        <v>271</v>
      </c>
      <c r="I1" s="127" t="s">
        <v>272</v>
      </c>
      <c r="J1" s="128" t="s">
        <v>273</v>
      </c>
      <c r="K1" s="129" t="s">
        <v>274</v>
      </c>
      <c r="L1" s="129" t="s">
        <v>275</v>
      </c>
      <c r="M1" s="129" t="s">
        <v>276</v>
      </c>
      <c r="N1" s="129" t="s">
        <v>277</v>
      </c>
      <c r="O1" s="129" t="s">
        <v>278</v>
      </c>
      <c r="P1" s="129" t="s">
        <v>279</v>
      </c>
      <c r="Q1" s="129" t="s">
        <v>280</v>
      </c>
      <c r="R1" s="129" t="s">
        <v>281</v>
      </c>
      <c r="S1" s="129" t="s">
        <v>282</v>
      </c>
      <c r="T1" s="129" t="s">
        <v>283</v>
      </c>
      <c r="U1" s="129" t="s">
        <v>284</v>
      </c>
      <c r="V1" s="129" t="s">
        <v>285</v>
      </c>
      <c r="W1" s="129" t="s">
        <v>286</v>
      </c>
      <c r="X1" s="130" t="s">
        <v>287</v>
      </c>
      <c r="Y1" s="131" t="s">
        <v>288</v>
      </c>
      <c r="Z1" s="131" t="s">
        <v>289</v>
      </c>
      <c r="AA1" s="131" t="s">
        <v>290</v>
      </c>
      <c r="AB1" s="131" t="s">
        <v>291</v>
      </c>
      <c r="AC1" s="131" t="s">
        <v>292</v>
      </c>
      <c r="AD1" s="131" t="s">
        <v>293</v>
      </c>
      <c r="AE1" s="131" t="s">
        <v>294</v>
      </c>
      <c r="AF1" s="131" t="s">
        <v>295</v>
      </c>
      <c r="AG1" s="131" t="s">
        <v>296</v>
      </c>
      <c r="AH1" s="131" t="s">
        <v>297</v>
      </c>
      <c r="AI1" s="131" t="s">
        <v>298</v>
      </c>
      <c r="AJ1" s="131" t="s">
        <v>299</v>
      </c>
      <c r="AK1" s="131" t="s">
        <v>300</v>
      </c>
      <c r="AL1" s="132" t="s">
        <v>301</v>
      </c>
      <c r="AM1" s="133" t="s">
        <v>302</v>
      </c>
      <c r="AN1" s="133" t="s">
        <v>303</v>
      </c>
      <c r="AO1" s="133" t="s">
        <v>304</v>
      </c>
      <c r="AP1" s="133" t="s">
        <v>305</v>
      </c>
      <c r="AQ1" s="133" t="s">
        <v>306</v>
      </c>
      <c r="AR1" s="133" t="s">
        <v>307</v>
      </c>
      <c r="AS1" s="133" t="s">
        <v>308</v>
      </c>
      <c r="AT1" s="133" t="s">
        <v>309</v>
      </c>
      <c r="AU1" s="133" t="s">
        <v>310</v>
      </c>
      <c r="AV1" s="133" t="s">
        <v>311</v>
      </c>
      <c r="AW1" s="133" t="s">
        <v>312</v>
      </c>
      <c r="AX1" s="133" t="s">
        <v>313</v>
      </c>
      <c r="AY1" s="134" t="s">
        <v>314</v>
      </c>
      <c r="AZ1" s="135" t="s">
        <v>315</v>
      </c>
      <c r="BA1" s="136" t="s">
        <v>316</v>
      </c>
      <c r="BB1" s="136" t="s">
        <v>317</v>
      </c>
      <c r="BC1" s="136" t="s">
        <v>318</v>
      </c>
      <c r="BD1" s="136" t="s">
        <v>319</v>
      </c>
      <c r="BE1" s="136" t="s">
        <v>320</v>
      </c>
      <c r="BF1" s="136" t="s">
        <v>321</v>
      </c>
      <c r="BG1" s="136" t="s">
        <v>322</v>
      </c>
      <c r="BH1" s="136" t="s">
        <v>323</v>
      </c>
      <c r="BI1" s="136" t="s">
        <v>324</v>
      </c>
      <c r="BJ1" s="136" t="s">
        <v>325</v>
      </c>
      <c r="BK1" s="136" t="s">
        <v>326</v>
      </c>
      <c r="BL1" s="136" t="s">
        <v>334</v>
      </c>
      <c r="BM1" s="137" t="s">
        <v>335</v>
      </c>
      <c r="BN1" s="127" t="s">
        <v>336</v>
      </c>
      <c r="BO1" s="138" t="s">
        <v>337</v>
      </c>
    </row>
    <row r="2" spans="1:67">
      <c r="A2" s="126" t="s">
        <v>263</v>
      </c>
      <c r="B2" s="126"/>
      <c r="C2" s="126"/>
      <c r="D2" s="126"/>
      <c r="E2" s="126"/>
      <c r="F2" s="126"/>
      <c r="G2" s="126"/>
      <c r="H2" s="126"/>
      <c r="I2" s="127"/>
      <c r="J2" s="128" t="s">
        <v>257</v>
      </c>
      <c r="K2" s="129"/>
      <c r="L2" s="129"/>
      <c r="M2" s="129"/>
      <c r="N2" s="129"/>
      <c r="O2" s="129"/>
      <c r="P2" s="129"/>
      <c r="Q2" s="129"/>
      <c r="R2" s="129"/>
      <c r="S2" s="129"/>
      <c r="T2" s="129"/>
      <c r="U2" s="129"/>
      <c r="V2" s="129"/>
      <c r="W2" s="129"/>
      <c r="X2" s="130" t="s">
        <v>258</v>
      </c>
      <c r="Y2" s="131"/>
      <c r="Z2" s="131"/>
      <c r="AA2" s="131"/>
      <c r="AB2" s="131"/>
      <c r="AC2" s="131"/>
      <c r="AD2" s="131"/>
      <c r="AE2" s="131"/>
      <c r="AF2" s="131"/>
      <c r="AG2" s="131"/>
      <c r="AH2" s="131"/>
      <c r="AI2" s="131"/>
      <c r="AJ2" s="131"/>
      <c r="AK2" s="131"/>
      <c r="AL2" s="132" t="s">
        <v>259</v>
      </c>
      <c r="AM2" s="133"/>
      <c r="AN2" s="133"/>
      <c r="AO2" s="133"/>
      <c r="AP2" s="133"/>
      <c r="AQ2" s="133"/>
      <c r="AR2" s="133"/>
      <c r="AS2" s="133"/>
      <c r="AT2" s="133"/>
      <c r="AU2" s="133"/>
      <c r="AV2" s="133"/>
      <c r="AW2" s="133"/>
      <c r="AX2" s="133"/>
      <c r="AY2" s="134"/>
      <c r="AZ2" s="135" t="s">
        <v>260</v>
      </c>
      <c r="BA2" s="136"/>
      <c r="BB2" s="136"/>
      <c r="BC2" s="136"/>
      <c r="BD2" s="136"/>
      <c r="BE2" s="136"/>
      <c r="BF2" s="136"/>
      <c r="BG2" s="136"/>
      <c r="BH2" s="136"/>
      <c r="BI2" s="136"/>
      <c r="BJ2" s="136"/>
      <c r="BK2" s="136"/>
      <c r="BL2" s="136"/>
      <c r="BM2" s="137"/>
      <c r="BN2" s="127"/>
      <c r="BO2" s="138"/>
    </row>
    <row r="3" spans="1:67" ht="54">
      <c r="A3" s="141" t="s">
        <v>0</v>
      </c>
      <c r="B3" s="142" t="s">
        <v>1</v>
      </c>
      <c r="C3" s="142" t="s">
        <v>15</v>
      </c>
      <c r="D3" s="142" t="s">
        <v>2</v>
      </c>
      <c r="E3" s="142" t="s">
        <v>3</v>
      </c>
      <c r="F3" s="143" t="s">
        <v>247</v>
      </c>
      <c r="G3" s="143" t="s">
        <v>248</v>
      </c>
      <c r="H3" s="143" t="s">
        <v>249</v>
      </c>
      <c r="I3" s="144" t="s">
        <v>244</v>
      </c>
      <c r="J3" s="145" t="s">
        <v>124</v>
      </c>
      <c r="K3" s="145" t="s">
        <v>14</v>
      </c>
      <c r="L3" s="145" t="s">
        <v>245</v>
      </c>
      <c r="M3" s="145" t="s">
        <v>252</v>
      </c>
      <c r="N3" s="145" t="s">
        <v>106</v>
      </c>
      <c r="O3" s="145" t="s">
        <v>123</v>
      </c>
      <c r="P3" s="145" t="s">
        <v>113</v>
      </c>
      <c r="Q3" s="145" t="s">
        <v>114</v>
      </c>
      <c r="R3" s="145" t="s">
        <v>225</v>
      </c>
      <c r="S3" s="145" t="s">
        <v>115</v>
      </c>
      <c r="T3" s="145" t="s">
        <v>139</v>
      </c>
      <c r="U3" s="145" t="s">
        <v>222</v>
      </c>
      <c r="V3" s="145" t="s">
        <v>329</v>
      </c>
      <c r="W3" s="145" t="s">
        <v>327</v>
      </c>
      <c r="X3" s="146" t="s">
        <v>124</v>
      </c>
      <c r="Y3" s="146" t="s">
        <v>14</v>
      </c>
      <c r="Z3" s="146" t="s">
        <v>246</v>
      </c>
      <c r="AA3" s="146" t="s">
        <v>254</v>
      </c>
      <c r="AB3" s="146" t="s">
        <v>106</v>
      </c>
      <c r="AC3" s="146" t="s">
        <v>123</v>
      </c>
      <c r="AD3" s="146" t="s">
        <v>113</v>
      </c>
      <c r="AE3" s="146" t="s">
        <v>114</v>
      </c>
      <c r="AF3" s="146" t="s">
        <v>225</v>
      </c>
      <c r="AG3" s="146" t="s">
        <v>115</v>
      </c>
      <c r="AH3" s="146" t="s">
        <v>139</v>
      </c>
      <c r="AI3" s="146" t="s">
        <v>222</v>
      </c>
      <c r="AJ3" s="146" t="s">
        <v>330</v>
      </c>
      <c r="AK3" s="146" t="s">
        <v>331</v>
      </c>
      <c r="AL3" s="147" t="s">
        <v>124</v>
      </c>
      <c r="AM3" s="147" t="s">
        <v>14</v>
      </c>
      <c r="AN3" s="147" t="s">
        <v>250</v>
      </c>
      <c r="AO3" s="147" t="s">
        <v>255</v>
      </c>
      <c r="AP3" s="147" t="s">
        <v>106</v>
      </c>
      <c r="AQ3" s="147" t="s">
        <v>123</v>
      </c>
      <c r="AR3" s="147" t="s">
        <v>113</v>
      </c>
      <c r="AS3" s="147" t="s">
        <v>114</v>
      </c>
      <c r="AT3" s="147" t="s">
        <v>225</v>
      </c>
      <c r="AU3" s="147" t="s">
        <v>115</v>
      </c>
      <c r="AV3" s="147" t="s">
        <v>139</v>
      </c>
      <c r="AW3" s="147" t="s">
        <v>222</v>
      </c>
      <c r="AX3" s="147" t="s">
        <v>253</v>
      </c>
      <c r="AY3" s="147" t="s">
        <v>328</v>
      </c>
      <c r="AZ3" s="148" t="s">
        <v>124</v>
      </c>
      <c r="BA3" s="148" t="s">
        <v>14</v>
      </c>
      <c r="BB3" s="148" t="s">
        <v>236</v>
      </c>
      <c r="BC3" s="148" t="s">
        <v>256</v>
      </c>
      <c r="BD3" s="148" t="s">
        <v>106</v>
      </c>
      <c r="BE3" s="148" t="s">
        <v>123</v>
      </c>
      <c r="BF3" s="148" t="s">
        <v>113</v>
      </c>
      <c r="BG3" s="148" t="s">
        <v>114</v>
      </c>
      <c r="BH3" s="148" t="s">
        <v>225</v>
      </c>
      <c r="BI3" s="148" t="s">
        <v>115</v>
      </c>
      <c r="BJ3" s="148" t="s">
        <v>139</v>
      </c>
      <c r="BK3" s="148" t="s">
        <v>222</v>
      </c>
      <c r="BL3" s="148" t="s">
        <v>332</v>
      </c>
      <c r="BM3" s="148" t="s">
        <v>333</v>
      </c>
      <c r="BN3" s="144" t="s">
        <v>242</v>
      </c>
      <c r="BO3" s="142" t="s">
        <v>262</v>
      </c>
    </row>
    <row r="4" spans="1:67">
      <c r="A4" s="149">
        <v>1</v>
      </c>
      <c r="B4" s="150"/>
      <c r="C4" s="150" t="str">
        <f>排放量计算表!D$2</f>
        <v>石油炼制</v>
      </c>
      <c r="D4" s="150" t="s">
        <v>186</v>
      </c>
      <c r="E4" s="150" t="s">
        <v>33</v>
      </c>
      <c r="F4" s="150"/>
      <c r="G4" s="150"/>
      <c r="H4" s="150"/>
      <c r="I4" s="151">
        <v>41956.598611111112</v>
      </c>
      <c r="J4" s="152" t="s">
        <v>134</v>
      </c>
      <c r="K4" s="152" t="str">
        <f>VLOOKUP($J4,基础数据!$O$6:$P$9,2,0)</f>
        <v>二级</v>
      </c>
      <c r="L4" s="153">
        <v>42067.34375</v>
      </c>
      <c r="M4" s="154">
        <v>56</v>
      </c>
      <c r="N4" s="154">
        <f t="array" ref="N4">VLOOKUP($C4&amp;$D4,IF({1,0},基础数据!$B$3:$B$22&amp;基础数据!$C$3:$C$22,基础数据!$E$3:$E$22),2,0)</f>
        <v>3.9999999999999998E-6</v>
      </c>
      <c r="O4" s="154">
        <f t="array" ref="O4">VLOOKUP($C4&amp;$D4,IF({1,0},基础数据!$B$3:$B$22&amp;基础数据!$C$3:$C$22,基础数据!$G$3:$G$22),2,0)</f>
        <v>0.11</v>
      </c>
      <c r="P4" s="155">
        <f t="array" ref="P4">VLOOKUP($C4&amp;$D4,IF({1,0},基础数据!$B$3:$B$22&amp;基础数据!$C$3:$C$22,基础数据!$H$3:$H$22),2,0)*M4^VLOOKUP($C4&amp;$D4,IF({1,0},基础数据!$B$3:$B$22&amp;基础数据!$C$3:$C$22,基础数据!$I$3:$I$22),2,0)</f>
        <v>1.4562021109359083E-4</v>
      </c>
      <c r="Q4" s="154">
        <f t="array" ref="Q4">IF(M4&lt;10000,VLOOKUP($C4&amp;$D4&amp;$E4,IF({1,0},基础数据!$B$28:$B$51&amp;基础数据!$C$28:$C$51&amp;基础数据!$D$28:$D$51,基础数据!$E$28:$E$51),2,0),VLOOKUP($C4&amp;$D4&amp;$E4,IF({1,0},基础数据!$B$28:$B$51&amp;基础数据!$C$28:$C$51&amp;基础数据!$D$28:$D$51,基础数据!$F$28:$F$51),2,0))*IF($C4="石油炼制",IF($F4=0,1,$F4/($F4-$H4)),1)</f>
        <v>4.4699999999999997E-2</v>
      </c>
      <c r="R4" s="155"/>
      <c r="S4" s="154" t="e">
        <f t="array" ref="S4">VLOOKUP($C4&amp;$D4&amp;$E4,IF({1,0},基础数据!$B$54:$B$79&amp;基础数据!$C$54:$C$79&amp;基础数据!$D$54:$D$79,基础数据!$E$54:$E$79),2,0)*IF($C4="石油炼制",IF($F4=0,1,$F4/($F4-$H4)),1)</f>
        <v>#N/A</v>
      </c>
      <c r="T4" s="154">
        <v>1</v>
      </c>
      <c r="U4" s="155">
        <f t="shared" ref="U4:U12" si="0">IF($K4="二级",IF(M4&lt;1,N4,IF(M4&gt;=50000,O4,P4)),LOOKUP($K4,Q$3:S$3,Q4:S4))*T4</f>
        <v>1.4562021109359083E-4</v>
      </c>
      <c r="V4" s="156">
        <f>IF(I4="",((L4-DATE(YEAR(L4),1,1))*2+(Z4-L4)),(Z4-I4))/2*24</f>
        <v>2614.1499999999942</v>
      </c>
      <c r="W4" s="156">
        <f>U4*V4</f>
        <v>0.3806730748303096</v>
      </c>
      <c r="X4" s="157" t="s">
        <v>134</v>
      </c>
      <c r="Y4" s="157" t="str">
        <f>VLOOKUP($X4,基础数据!$O$6:$P$9,2,0)</f>
        <v>二级</v>
      </c>
      <c r="Z4" s="158">
        <v>42174.444444444445</v>
      </c>
      <c r="AA4" s="150">
        <v>56</v>
      </c>
      <c r="AB4" s="150">
        <f t="array" ref="AB4">VLOOKUP($C4&amp;$D4,IF({1,0},基础数据!$B$3:$B$22&amp;基础数据!$C$3:$C$22,基础数据!$E$3:$E$22),2,0)</f>
        <v>3.9999999999999998E-6</v>
      </c>
      <c r="AC4" s="150">
        <f t="array" ref="AC4">VLOOKUP($C4&amp;$D4,IF({1,0},基础数据!$B$3:$B$22&amp;基础数据!$C$3:$C$22,基础数据!$G$3:$G$22),2,0)</f>
        <v>0.11</v>
      </c>
      <c r="AD4" s="159">
        <f t="array" ref="AD4">VLOOKUP($C4&amp;$D4,IF({1,0},基础数据!$B$3:$B$22&amp;基础数据!$C$3:$C$22,基础数据!$H$3:$H$22),2,0)*AA4^VLOOKUP($C4&amp;$D4,IF({1,0},基础数据!$B$3:$B$22&amp;基础数据!$C$3:$C$22,基础数据!$I$3:$I$22),2,0)</f>
        <v>1.4562021109359083E-4</v>
      </c>
      <c r="AE4" s="150">
        <f t="array" ref="AE4">IF(AA4&lt;10000,VLOOKUP($C4&amp;$D4&amp;$E4,IF({1,0},基础数据!$B$28:$B$51&amp;基础数据!$C$28:$C$51&amp;基础数据!$D$28:$D$51,基础数据!$E$28:$E$51),2,0),VLOOKUP($C4&amp;$D4&amp;$E4,IF({1,0},基础数据!$B$28:$B$51&amp;基础数据!$C$28:$C$51&amp;基础数据!$D$28:$D$51,基础数据!$F$28:$F$51),2,0))*IF($C4="石油炼制",IF($F4=0,1,$F4/($F4-$H4)),1)</f>
        <v>4.4699999999999997E-2</v>
      </c>
      <c r="AF4" s="159"/>
      <c r="AG4" s="150" t="e">
        <f t="array" ref="AG4">VLOOKUP($C4&amp;$D4&amp;$E4,IF({1,0},基础数据!$B$54:$B$79&amp;基础数据!$C$54:$C$79&amp;基础数据!$D$54:$D$79,基础数据!$E$54:$E$79),2,0)*IF($C4="石油炼制",IF($F4=0,1,$F4/($F4-$H4)),1)</f>
        <v>#N/A</v>
      </c>
      <c r="AH4" s="150">
        <v>1</v>
      </c>
      <c r="AI4" s="159">
        <f t="shared" ref="AI4:AI12" si="1">IF($Y4="二级",IF(AA4&lt;1,AB4,IF(AA4&gt;=50000,AC4,AD4)),LOOKUP($Y4,AE$3:AG$3,AE4:AG4))*AH4</f>
        <v>1.4562021109359083E-4</v>
      </c>
      <c r="AJ4" s="160">
        <f t="shared" ref="AJ4:AJ12" si="2">IF((D4="法兰")+(D4="连接件")+(D4="其他"),IF(BN4="",(DATE(YEAR(Z4)+1,1,1)-Z4)*2+(Z4-L4),(BN4-L4)),(AN4-L4))/2*24</f>
        <v>2232.4999999999709</v>
      </c>
      <c r="AK4" s="160">
        <f>AJ4*AI4</f>
        <v>0.32509712126643731</v>
      </c>
      <c r="AL4" s="161" t="s">
        <v>134</v>
      </c>
      <c r="AM4" s="161" t="str">
        <f>VLOOKUP($AL4,基础数据!$O$6:$P$9,2,0)</f>
        <v>二级</v>
      </c>
      <c r="AN4" s="162">
        <v>42253.385416666664</v>
      </c>
      <c r="AO4" s="163">
        <v>56</v>
      </c>
      <c r="AP4" s="163">
        <f t="array" ref="AP4">VLOOKUP($C4&amp;$D4,IF({1,0},基础数据!$B$3:$B$22&amp;基础数据!$C$3:$C$22,基础数据!$E$3:$E$22),2,0)</f>
        <v>3.9999999999999998E-6</v>
      </c>
      <c r="AQ4" s="163">
        <f t="array" ref="AQ4">VLOOKUP($C4&amp;$D4,IF({1,0},基础数据!$B$3:$B$22&amp;基础数据!$C$3:$C$22,基础数据!$G$3:$G$22),2,0)</f>
        <v>0.11</v>
      </c>
      <c r="AR4" s="164">
        <f t="array" ref="AR4">VLOOKUP($C4&amp;$D4,IF({1,0},基础数据!$B$3:$B$22&amp;基础数据!$C$3:$C$22,基础数据!$H$3:$H$22),2,0)*AO4^VLOOKUP($C4&amp;$D4,IF({1,0},基础数据!$B$3:$B$22&amp;基础数据!$C$3:$C$22,基础数据!$I$3:$I$22),2,0)</f>
        <v>1.4562021109359083E-4</v>
      </c>
      <c r="AS4" s="163">
        <f t="array" ref="AS4">IF(AO4&lt;10000,VLOOKUP($C4&amp;$D4&amp;$E4,IF({1,0},基础数据!$B$28:$B$51&amp;基础数据!$C$28:$C$51&amp;基础数据!$D$28:$D$51,基础数据!$E$28:$E$51),2,0),VLOOKUP($C4&amp;$D4&amp;$E4,IF({1,0},基础数据!$B$28:$B$51&amp;基础数据!$C$28:$C$51&amp;基础数据!$D$28:$D$51,基础数据!$F$28:$F$51),2,0))*IF($C4="石油炼制",IF($F4=0,1,$F4/($F4-$H4)),1)</f>
        <v>4.4699999999999997E-2</v>
      </c>
      <c r="AT4" s="164"/>
      <c r="AU4" s="163" t="e">
        <f t="array" ref="AU4">VLOOKUP($C4&amp;$D4&amp;$E4,IF({1,0},基础数据!$B$54:$B$79&amp;基础数据!$C$54:$C$79&amp;基础数据!$D$54:$D$79,基础数据!$E$54:$E$79),2,0)*IF($C4="石油炼制",IF($F4=0,1,$F4/($F4-$H4)),1)</f>
        <v>#N/A</v>
      </c>
      <c r="AV4" s="163">
        <v>1</v>
      </c>
      <c r="AW4" s="164">
        <f t="shared" ref="AW4:AW12" si="3">IF($AM4="二级",IF(AO4&lt;1,AP4,IF(AO4&gt;=50000,AQ4,AR4)),LOOKUP($AM4,AS$3:AU$3,AS4:AU4))*AV4</f>
        <v>1.4562021109359083E-4</v>
      </c>
      <c r="AX4" s="165">
        <f t="shared" ref="AX4:AX12" si="4">IF((D4="法兰")+(D4="连接件")+(D4="其他"),0,(BB4-Z4))/2*24</f>
        <v>1813.9666666666162</v>
      </c>
      <c r="AY4" s="165">
        <f>AW4*AX4</f>
        <v>0.26415020891672997</v>
      </c>
      <c r="AZ4" s="166" t="s">
        <v>134</v>
      </c>
      <c r="BA4" s="166" t="str">
        <f>VLOOKUP($AZ4,基础数据!$O$6:$P$9,2,0)</f>
        <v>二级</v>
      </c>
      <c r="BB4" s="167">
        <v>42325.60833333333</v>
      </c>
      <c r="BC4" s="168">
        <v>56</v>
      </c>
      <c r="BD4" s="168">
        <f t="array" ref="BD4">VLOOKUP($C4&amp;$D4,IF({1,0},基础数据!$B$3:$B$22&amp;基础数据!$C$3:$C$22,基础数据!$E$3:$E$22),2,0)</f>
        <v>3.9999999999999998E-6</v>
      </c>
      <c r="BE4" s="168">
        <f t="array" ref="BE4">VLOOKUP($C4&amp;$D4,IF({1,0},基础数据!$B$3:$B$22&amp;基础数据!$C$3:$C$22,基础数据!$G$3:$G$22),2,0)</f>
        <v>0.11</v>
      </c>
      <c r="BF4" s="169">
        <f t="array" ref="BF4">VLOOKUP($C4&amp;$D4,IF({1,0},基础数据!$B$3:$B$22&amp;基础数据!$C$3:$C$22,基础数据!$H$3:$H$22),2,0)*BC4^VLOOKUP($C4&amp;$D4,IF({1,0},基础数据!$B$3:$B$22&amp;基础数据!$C$3:$C$22,基础数据!$I$3:$I$22),2,0)</f>
        <v>1.4562021109359083E-4</v>
      </c>
      <c r="BG4" s="168">
        <f t="array" ref="BG4">IF(BC4&lt;10000,VLOOKUP($C4&amp;$D4&amp;$E4,IF({1,0},基础数据!$B$28:$B$51&amp;基础数据!$C$28:$C$51&amp;基础数据!$D$28:$D$51,基础数据!$E$28:$E$51),2,0),VLOOKUP($C4&amp;$D4&amp;$E4,IF({1,0},基础数据!$B$28:$B$51&amp;基础数据!$C$28:$C$51&amp;基础数据!$D$28:$D$51,基础数据!$F$28:$F$51),2,0))*IF($C4="石油炼制",IF($F4=0,1,$F4/($F4-$H4)),1)</f>
        <v>4.4699999999999997E-2</v>
      </c>
      <c r="BH4" s="169"/>
      <c r="BI4" s="168" t="e">
        <f t="array" ref="BI4">VLOOKUP($C4&amp;$D4&amp;$E4,IF({1,0},基础数据!$B$54:$B$79&amp;基础数据!$C$54:$C$79&amp;基础数据!$D$54:$D$79,基础数据!$E$54:$E$79),2,0)*IF($C4="石油炼制",IF($F4=0,1,$F4/($F4-$H4)),1)</f>
        <v>#N/A</v>
      </c>
      <c r="BJ4" s="168">
        <v>1</v>
      </c>
      <c r="BK4" s="169">
        <f t="shared" ref="BK4:BK12" si="5">IF($BA4="二级",IF(BC4&lt;1,BD4,IF(BC4&gt;=50000,BE4,BF4)),LOOKUP($BA4,BG$3:BI$3,BG4:BI4))*BJ4</f>
        <v>1.4562021109359083E-4</v>
      </c>
      <c r="BL4" s="170">
        <f t="shared" ref="BL4:BL12" si="6">IF((D4="法兰")+(D4="连接件")+(D4="其他"),0,IF(BN4="",(DATE(YEAR(BB4)+1,1,1)*2-BB4+(BB4-AN4)),(BN4-AN4))/2*24)</f>
        <v>1862.2749999999942</v>
      </c>
      <c r="BM4" s="170">
        <f t="shared" ref="BM4:BM12" si="7">BL4*BK4</f>
        <v>0.27118487861431601</v>
      </c>
      <c r="BN4" s="151">
        <v>42408.574999999997</v>
      </c>
      <c r="BO4" s="159">
        <f t="shared" ref="BO4:BO12" si="8">BL4*BK4+AX4*AW4+AJ4*AI4+V4*U4</f>
        <v>1.2411052836277929</v>
      </c>
    </row>
    <row r="5" spans="1:67">
      <c r="A5" s="171">
        <v>2</v>
      </c>
      <c r="B5" s="172"/>
      <c r="C5" s="172" t="str">
        <f>排放量计算表!D$2</f>
        <v>石油炼制</v>
      </c>
      <c r="D5" s="172" t="s">
        <v>184</v>
      </c>
      <c r="E5" s="172" t="s">
        <v>8</v>
      </c>
      <c r="F5" s="150"/>
      <c r="G5" s="150"/>
      <c r="H5" s="150"/>
      <c r="I5" s="151">
        <v>41956.598611111112</v>
      </c>
      <c r="J5" s="152" t="s">
        <v>134</v>
      </c>
      <c r="K5" s="152" t="str">
        <f>VLOOKUP($J5,基础数据!$O$6:$P$9,2,0)</f>
        <v>二级</v>
      </c>
      <c r="L5" s="153">
        <v>42067.34375</v>
      </c>
      <c r="M5" s="154">
        <v>57</v>
      </c>
      <c r="N5" s="154">
        <f t="array" ref="N5">VLOOKUP($C5&amp;$D5,IF({1,0},基础数据!$B$3:$B$22&amp;基础数据!$C$3:$C$22,基础数据!$E$3:$E$22),2,0)</f>
        <v>2.4000000000000001E-5</v>
      </c>
      <c r="O5" s="154">
        <f t="array" ref="O5">VLOOKUP($C5&amp;$D5,IF({1,0},基础数据!$B$3:$B$22&amp;基础数据!$C$3:$C$22,基础数据!$G$3:$G$22),2,0)</f>
        <v>0.16</v>
      </c>
      <c r="P5" s="155">
        <f t="array" ref="P5">VLOOKUP($C5&amp;$D5,IF({1,0},基础数据!$B$3:$B$22&amp;基础数据!$C$3:$C$22,基础数据!$H$3:$H$22),2,0)*M5^VLOOKUP($C5&amp;$D5,IF({1,0},基础数据!$B$3:$B$22&amp;基础数据!$C$3:$C$22,基础数据!$I$3:$I$22),2,0)</f>
        <v>5.9244992252059094E-4</v>
      </c>
      <c r="Q5" s="154">
        <f t="array" ref="Q5">IF(M5&lt;10000,VLOOKUP($C5&amp;$D5&amp;$E5,IF({1,0},基础数据!$B$28:$B$51&amp;基础数据!$C$28:$C$51&amp;基础数据!$D$28:$D$51,基础数据!$E$28:$E$51),2,0),VLOOKUP($C5&amp;$D5&amp;$E5,IF({1,0},基础数据!$B$28:$B$51&amp;基础数据!$C$28:$C$51&amp;基础数据!$D$28:$D$51,基础数据!$F$28:$F$51),2,0))*IF($C5="石油炼制",IF($F5=0,1,$F5/($F5-$H5)),1)</f>
        <v>1.2E-2</v>
      </c>
      <c r="R5" s="155"/>
      <c r="S5" s="154">
        <f t="array" ref="S5">VLOOKUP($C5&amp;$D5&amp;$E5,IF({1,0},基础数据!$B$54:$B$79&amp;基础数据!$C$54:$C$79&amp;基础数据!$D$54:$D$79,基础数据!$E$54:$E$79),2,0)*IF($C5="石油炼制",IF($F5=0,1,$F5/($F5-$H5)),1)</f>
        <v>0.114</v>
      </c>
      <c r="T5" s="154">
        <v>2</v>
      </c>
      <c r="U5" s="155">
        <f t="shared" si="0"/>
        <v>1.1848998450411819E-3</v>
      </c>
      <c r="V5" s="156">
        <f t="shared" ref="V5:V12" si="9">IF(I5="",((L5-DATE(YEAR(L5),1,1))*2+(Z5-L5)),(Z5-I5))/2*24</f>
        <v>2626.1499999999942</v>
      </c>
      <c r="W5" s="156">
        <f t="shared" ref="W5:W12" si="10">U5*V5</f>
        <v>3.111724728054893</v>
      </c>
      <c r="X5" s="157" t="s">
        <v>134</v>
      </c>
      <c r="Y5" s="157" t="str">
        <f>VLOOKUP($X5,基础数据!$O$6:$P$9,2,0)</f>
        <v>二级</v>
      </c>
      <c r="Z5" s="158">
        <v>42175.444444444445</v>
      </c>
      <c r="AA5" s="150">
        <v>57</v>
      </c>
      <c r="AB5" s="150">
        <f t="array" ref="AB5">VLOOKUP($C5&amp;$D5,IF({1,0},基础数据!$B$3:$B$22&amp;基础数据!$C$3:$C$22,基础数据!$E$3:$E$22),2,0)</f>
        <v>2.4000000000000001E-5</v>
      </c>
      <c r="AC5" s="150">
        <f t="array" ref="AC5">VLOOKUP($C5&amp;$D5,IF({1,0},基础数据!$B$3:$B$22&amp;基础数据!$C$3:$C$22,基础数据!$G$3:$G$22),2,0)</f>
        <v>0.16</v>
      </c>
      <c r="AD5" s="159">
        <f t="array" ref="AD5">VLOOKUP($C5&amp;$D5,IF({1,0},基础数据!$B$3:$B$22&amp;基础数据!$C$3:$C$22,基础数据!$H$3:$H$22),2,0)*AA5^VLOOKUP($C5&amp;$D5,IF({1,0},基础数据!$B$3:$B$22&amp;基础数据!$C$3:$C$22,基础数据!$I$3:$I$22),2,0)</f>
        <v>5.9244992252059094E-4</v>
      </c>
      <c r="AE5" s="150">
        <f t="array" ref="AE5">IF(AA5&lt;10000,VLOOKUP($C5&amp;$D5&amp;$E5,IF({1,0},基础数据!$B$28:$B$51&amp;基础数据!$C$28:$C$51&amp;基础数据!$D$28:$D$51,基础数据!$E$28:$E$51),2,0),VLOOKUP($C5&amp;$D5&amp;$E5,IF({1,0},基础数据!$B$28:$B$51&amp;基础数据!$C$28:$C$51&amp;基础数据!$D$28:$D$51,基础数据!$F$28:$F$51),2,0))*IF($C5="石油炼制",IF($F5=0,1,$F5/($F5-$H5)),1)</f>
        <v>1.2E-2</v>
      </c>
      <c r="AF5" s="159"/>
      <c r="AG5" s="150">
        <f t="array" ref="AG5">VLOOKUP($C5&amp;$D5&amp;$E5,IF({1,0},基础数据!$B$54:$B$79&amp;基础数据!$C$54:$C$79&amp;基础数据!$D$54:$D$79,基础数据!$E$54:$E$79),2,0)*IF($C5="石油炼制",IF($F5=0,1,$F5/($F5-$H5)),1)</f>
        <v>0.114</v>
      </c>
      <c r="AH5" s="150">
        <v>2</v>
      </c>
      <c r="AI5" s="159">
        <f t="shared" si="1"/>
        <v>1.1848998450411819E-3</v>
      </c>
      <c r="AJ5" s="160">
        <f t="shared" si="2"/>
        <v>2244.4999993055826</v>
      </c>
      <c r="AK5" s="160">
        <f t="shared" ref="AK5:AK12" si="11">AJ5*AI5</f>
        <v>2.6595077013721178</v>
      </c>
      <c r="AL5" s="161" t="s">
        <v>134</v>
      </c>
      <c r="AM5" s="161" t="str">
        <f>VLOOKUP($AL5,基础数据!$O$6:$P$9,2,0)</f>
        <v>二级</v>
      </c>
      <c r="AN5" s="162">
        <v>42254.385416608799</v>
      </c>
      <c r="AO5" s="163">
        <v>57</v>
      </c>
      <c r="AP5" s="163">
        <f t="array" ref="AP5">VLOOKUP($C5&amp;$D5,IF({1,0},基础数据!$B$3:$B$22&amp;基础数据!$C$3:$C$22,基础数据!$E$3:$E$22),2,0)</f>
        <v>2.4000000000000001E-5</v>
      </c>
      <c r="AQ5" s="163">
        <f t="array" ref="AQ5">VLOOKUP($C5&amp;$D5,IF({1,0},基础数据!$B$3:$B$22&amp;基础数据!$C$3:$C$22,基础数据!$G$3:$G$22),2,0)</f>
        <v>0.16</v>
      </c>
      <c r="AR5" s="164">
        <f t="array" ref="AR5">VLOOKUP($C5&amp;$D5,IF({1,0},基础数据!$B$3:$B$22&amp;基础数据!$C$3:$C$22,基础数据!$H$3:$H$22),2,0)*AO5^VLOOKUP($C5&amp;$D5,IF({1,0},基础数据!$B$3:$B$22&amp;基础数据!$C$3:$C$22,基础数据!$I$3:$I$22),2,0)</f>
        <v>5.9244992252059094E-4</v>
      </c>
      <c r="AS5" s="163">
        <f t="array" ref="AS5">IF(AO5&lt;10000,VLOOKUP($C5&amp;$D5&amp;$E5,IF({1,0},基础数据!$B$28:$B$51&amp;基础数据!$C$28:$C$51&amp;基础数据!$D$28:$D$51,基础数据!$E$28:$E$51),2,0),VLOOKUP($C5&amp;$D5&amp;$E5,IF({1,0},基础数据!$B$28:$B$51&amp;基础数据!$C$28:$C$51&amp;基础数据!$D$28:$D$51,基础数据!$F$28:$F$51),2,0))*IF($C5="石油炼制",IF($F5=0,1,$F5/($F5-$H5)),1)</f>
        <v>1.2E-2</v>
      </c>
      <c r="AT5" s="164"/>
      <c r="AU5" s="163">
        <f t="array" ref="AU5">VLOOKUP($C5&amp;$D5&amp;$E5,IF({1,0},基础数据!$B$54:$B$79&amp;基础数据!$C$54:$C$79&amp;基础数据!$D$54:$D$79,基础数据!$E$54:$E$79),2,0)*IF($C5="石油炼制",IF($F5=0,1,$F5/($F5-$H5)),1)</f>
        <v>0.114</v>
      </c>
      <c r="AV5" s="163">
        <v>2</v>
      </c>
      <c r="AW5" s="164">
        <f t="shared" si="3"/>
        <v>1.1848998450411819E-3</v>
      </c>
      <c r="AX5" s="165">
        <f t="shared" si="4"/>
        <v>1813.9666659722279</v>
      </c>
      <c r="AY5" s="165">
        <f t="shared" ref="AY5:AY12" si="12">AW5*AX5</f>
        <v>2.1493688214203623</v>
      </c>
      <c r="AZ5" s="166" t="s">
        <v>134</v>
      </c>
      <c r="BA5" s="166" t="str">
        <f>VLOOKUP($AZ5,基础数据!$O$6:$P$9,2,0)</f>
        <v>二级</v>
      </c>
      <c r="BB5" s="167">
        <v>42326.608333275464</v>
      </c>
      <c r="BC5" s="168">
        <v>57</v>
      </c>
      <c r="BD5" s="168">
        <f t="array" ref="BD5">VLOOKUP($C5&amp;$D5,IF({1,0},基础数据!$B$3:$B$22&amp;基础数据!$C$3:$C$22,基础数据!$E$3:$E$22),2,0)</f>
        <v>2.4000000000000001E-5</v>
      </c>
      <c r="BE5" s="168">
        <f t="array" ref="BE5">VLOOKUP($C5&amp;$D5,IF({1,0},基础数据!$B$3:$B$22&amp;基础数据!$C$3:$C$22,基础数据!$G$3:$G$22),2,0)</f>
        <v>0.16</v>
      </c>
      <c r="BF5" s="169">
        <f t="array" ref="BF5">VLOOKUP($C5&amp;$D5,IF({1,0},基础数据!$B$3:$B$22&amp;基础数据!$C$3:$C$22,基础数据!$H$3:$H$22),2,0)*BC5^VLOOKUP($C5&amp;$D5,IF({1,0},基础数据!$B$3:$B$22&amp;基础数据!$C$3:$C$22,基础数据!$I$3:$I$22),2,0)</f>
        <v>5.9244992252059094E-4</v>
      </c>
      <c r="BG5" s="168">
        <f t="array" ref="BG5">IF(BC5&lt;10000,VLOOKUP($C5&amp;$D5&amp;$E5,IF({1,0},基础数据!$B$28:$B$51&amp;基础数据!$C$28:$C$51&amp;基础数据!$D$28:$D$51,基础数据!$E$28:$E$51),2,0),VLOOKUP($C5&amp;$D5&amp;$E5,IF({1,0},基础数据!$B$28:$B$51&amp;基础数据!$C$28:$C$51&amp;基础数据!$D$28:$D$51,基础数据!$F$28:$F$51),2,0))*IF($C5="石油炼制",IF($F5=0,1,$F5/($F5-$H5)),1)</f>
        <v>1.2E-2</v>
      </c>
      <c r="BH5" s="169"/>
      <c r="BI5" s="168">
        <f t="array" ref="BI5">VLOOKUP($C5&amp;$D5&amp;$E5,IF({1,0},基础数据!$B$54:$B$79&amp;基础数据!$C$54:$C$79&amp;基础数据!$D$54:$D$79,基础数据!$E$54:$E$79),2,0)*IF($C5="石油炼制",IF($F5=0,1,$F5/($F5-$H5)),1)</f>
        <v>0.114</v>
      </c>
      <c r="BJ5" s="168">
        <v>2</v>
      </c>
      <c r="BK5" s="169">
        <f t="shared" si="5"/>
        <v>1.1848998450411819E-3</v>
      </c>
      <c r="BL5" s="170">
        <f t="shared" si="6"/>
        <v>1862.2749999999942</v>
      </c>
      <c r="BM5" s="170">
        <f t="shared" si="7"/>
        <v>2.2066093589240601</v>
      </c>
      <c r="BN5" s="151">
        <v>42409.574999942131</v>
      </c>
      <c r="BO5" s="159">
        <f t="shared" si="8"/>
        <v>10.127210609771433</v>
      </c>
    </row>
    <row r="6" spans="1:67">
      <c r="A6" s="149">
        <v>3</v>
      </c>
      <c r="B6" s="150"/>
      <c r="C6" s="150" t="str">
        <f>排放量计算表!D$2</f>
        <v>石油炼制</v>
      </c>
      <c r="D6" s="150" t="s">
        <v>95</v>
      </c>
      <c r="E6" s="150" t="s">
        <v>33</v>
      </c>
      <c r="F6" s="150"/>
      <c r="G6" s="150"/>
      <c r="H6" s="150"/>
      <c r="I6" s="151">
        <v>41956.598611111112</v>
      </c>
      <c r="J6" s="152" t="s">
        <v>134</v>
      </c>
      <c r="K6" s="152" t="str">
        <f>VLOOKUP($J6,基础数据!$O$6:$P$9,2,0)</f>
        <v>二级</v>
      </c>
      <c r="L6" s="153">
        <v>42067.34375</v>
      </c>
      <c r="M6" s="154">
        <v>58</v>
      </c>
      <c r="N6" s="154">
        <f t="array" ref="N6">VLOOKUP($C6&amp;$D6,IF({1,0},基础数据!$B$3:$B$22&amp;基础数据!$C$3:$C$22,基础数据!$E$3:$E$22),2,0)</f>
        <v>7.5000000000000002E-6</v>
      </c>
      <c r="O6" s="154">
        <f t="array" ref="O6">VLOOKUP($C6&amp;$D6,IF({1,0},基础数据!$B$3:$B$22&amp;基础数据!$C$3:$C$22,基础数据!$G$3:$G$22),2,0)</f>
        <v>0.03</v>
      </c>
      <c r="P6" s="155">
        <f t="array" ref="P6">VLOOKUP($C6&amp;$D6,IF({1,0},基础数据!$B$3:$B$22&amp;基础数据!$C$3:$C$22,基础数据!$H$3:$H$22),2,0)*M6^VLOOKUP($C6&amp;$D6,IF({1,0},基础数据!$B$3:$B$22&amp;基础数据!$C$3:$C$22,基础数据!$I$3:$I$22),2,0)</f>
        <v>3.0255964789293697E-5</v>
      </c>
      <c r="Q6" s="154">
        <f t="array" ref="Q6">IF(M6&lt;10000,VLOOKUP($C6&amp;$D6&amp;$E6,IF({1,0},基础数据!$B$28:$B$51&amp;基础数据!$C$28:$C$51&amp;基础数据!$D$28:$D$51,基础数据!$E$28:$E$51),2,0),VLOOKUP($C6&amp;$D6&amp;$E6,IF({1,0},基础数据!$B$28:$B$51&amp;基础数据!$C$28:$C$51&amp;基础数据!$D$28:$D$51,基础数据!$F$28:$F$51),2,0))*IF($C6="石油炼制",IF($F6=0,1,$F6/($F6-$H6)),1)</f>
        <v>6.0000000000000002E-5</v>
      </c>
      <c r="R6" s="155"/>
      <c r="S6" s="154">
        <f t="array" ref="S6">VLOOKUP($C6&amp;$D6&amp;$E6,IF({1,0},基础数据!$B$54:$B$79&amp;基础数据!$C$54:$C$79&amp;基础数据!$D$54:$D$79,基础数据!$E$54:$E$79),2,0)*IF($C6="石油炼制",IF($F6=0,1,$F6/($F6-$H6)),1)</f>
        <v>2.5000000000000001E-4</v>
      </c>
      <c r="T6" s="154">
        <v>3</v>
      </c>
      <c r="U6" s="155">
        <f t="shared" si="0"/>
        <v>9.0767894367881085E-5</v>
      </c>
      <c r="V6" s="156">
        <f t="shared" si="9"/>
        <v>2638.1499999999942</v>
      </c>
      <c r="W6" s="156">
        <f t="shared" si="10"/>
        <v>0.23945932052662497</v>
      </c>
      <c r="X6" s="157" t="s">
        <v>134</v>
      </c>
      <c r="Y6" s="157" t="str">
        <f>VLOOKUP($X6,基础数据!$O$6:$P$9,2,0)</f>
        <v>二级</v>
      </c>
      <c r="Z6" s="158">
        <v>42176.444444444445</v>
      </c>
      <c r="AA6" s="150">
        <v>58</v>
      </c>
      <c r="AB6" s="150">
        <f t="array" ref="AB6">VLOOKUP($C6&amp;$D6,IF({1,0},基础数据!$B$3:$B$22&amp;基础数据!$C$3:$C$22,基础数据!$E$3:$E$22),2,0)</f>
        <v>7.5000000000000002E-6</v>
      </c>
      <c r="AC6" s="150">
        <f t="array" ref="AC6">VLOOKUP($C6&amp;$D6,IF({1,0},基础数据!$B$3:$B$22&amp;基础数据!$C$3:$C$22,基础数据!$G$3:$G$22),2,0)</f>
        <v>0.03</v>
      </c>
      <c r="AD6" s="159">
        <f t="array" ref="AD6">VLOOKUP($C6&amp;$D6,IF({1,0},基础数据!$B$3:$B$22&amp;基础数据!$C$3:$C$22,基础数据!$H$3:$H$22),2,0)*AA6^VLOOKUP($C6&amp;$D6,IF({1,0},基础数据!$B$3:$B$22&amp;基础数据!$C$3:$C$22,基础数据!$I$3:$I$22),2,0)</f>
        <v>3.0255964789293697E-5</v>
      </c>
      <c r="AE6" s="150">
        <f t="array" ref="AE6">IF(AA6&lt;10000,VLOOKUP($C6&amp;$D6&amp;$E6,IF({1,0},基础数据!$B$28:$B$51&amp;基础数据!$C$28:$C$51&amp;基础数据!$D$28:$D$51,基础数据!$E$28:$E$51),2,0),VLOOKUP($C6&amp;$D6&amp;$E6,IF({1,0},基础数据!$B$28:$B$51&amp;基础数据!$C$28:$C$51&amp;基础数据!$D$28:$D$51,基础数据!$F$28:$F$51),2,0))*IF($C6="石油炼制",IF($F6=0,1,$F6/($F6-$H6)),1)</f>
        <v>6.0000000000000002E-5</v>
      </c>
      <c r="AF6" s="159"/>
      <c r="AG6" s="150">
        <f t="array" ref="AG6">VLOOKUP($C6&amp;$D6&amp;$E6,IF({1,0},基础数据!$B$54:$B$79&amp;基础数据!$C$54:$C$79&amp;基础数据!$D$54:$D$79,基础数据!$E$54:$E$79),2,0)*IF($C6="石油炼制",IF($F6=0,1,$F6/($F6-$H6)),1)</f>
        <v>2.5000000000000001E-4</v>
      </c>
      <c r="AH6" s="150">
        <v>3</v>
      </c>
      <c r="AI6" s="159">
        <f t="shared" si="1"/>
        <v>9.0767894367881085E-5</v>
      </c>
      <c r="AJ6" s="160">
        <f t="shared" si="2"/>
        <v>4118.7749993055768</v>
      </c>
      <c r="AK6" s="160">
        <f t="shared" si="11"/>
        <v>0.37385253406203811</v>
      </c>
      <c r="AL6" s="161" t="s">
        <v>212</v>
      </c>
      <c r="AM6" s="161" t="str">
        <f>VLOOKUP($AL6,基础数据!$O$6:$P$9,2,0)</f>
        <v>实测</v>
      </c>
      <c r="AN6" s="162">
        <v>42255.385416608799</v>
      </c>
      <c r="AO6" s="163">
        <v>58</v>
      </c>
      <c r="AP6" s="163">
        <f t="array" ref="AP6">VLOOKUP($C6&amp;$D6,IF({1,0},基础数据!$B$3:$B$22&amp;基础数据!$C$3:$C$22,基础数据!$E$3:$E$22),2,0)</f>
        <v>7.5000000000000002E-6</v>
      </c>
      <c r="AQ6" s="163">
        <f t="array" ref="AQ6">VLOOKUP($C6&amp;$D6,IF({1,0},基础数据!$B$3:$B$22&amp;基础数据!$C$3:$C$22,基础数据!$G$3:$G$22),2,0)</f>
        <v>0.03</v>
      </c>
      <c r="AR6" s="164">
        <f t="array" ref="AR6">VLOOKUP($C6&amp;$D6,IF({1,0},基础数据!$B$3:$B$22&amp;基础数据!$C$3:$C$22,基础数据!$H$3:$H$22),2,0)*AO6^VLOOKUP($C6&amp;$D6,IF({1,0},基础数据!$B$3:$B$22&amp;基础数据!$C$3:$C$22,基础数据!$I$3:$I$22),2,0)</f>
        <v>3.0255964789293697E-5</v>
      </c>
      <c r="AS6" s="163">
        <f t="array" ref="AS6">IF(AO6&lt;10000,VLOOKUP($C6&amp;$D6&amp;$E6,IF({1,0},基础数据!$B$28:$B$51&amp;基础数据!$C$28:$C$51&amp;基础数据!$D$28:$D$51,基础数据!$E$28:$E$51),2,0),VLOOKUP($C6&amp;$D6&amp;$E6,IF({1,0},基础数据!$B$28:$B$51&amp;基础数据!$C$28:$C$51&amp;基础数据!$D$28:$D$51,基础数据!$F$28:$F$51),2,0))*IF($C6="石油炼制",IF($F6=0,1,$F6/($F6-$H6)),1)</f>
        <v>6.0000000000000002E-5</v>
      </c>
      <c r="AT6" s="164"/>
      <c r="AU6" s="163">
        <f t="array" ref="AU6">VLOOKUP($C6&amp;$D6&amp;$E6,IF({1,0},基础数据!$B$54:$B$79&amp;基础数据!$C$54:$C$79&amp;基础数据!$D$54:$D$79,基础数据!$E$54:$E$79),2,0)*IF($C6="石油炼制",IF($F6=0,1,$F6/($F6-$H6)),1)</f>
        <v>2.5000000000000001E-4</v>
      </c>
      <c r="AV6" s="163">
        <v>3</v>
      </c>
      <c r="AW6" s="164">
        <f t="shared" si="3"/>
        <v>0</v>
      </c>
      <c r="AX6" s="165">
        <f t="shared" si="4"/>
        <v>0</v>
      </c>
      <c r="AY6" s="165">
        <f t="shared" si="12"/>
        <v>0</v>
      </c>
      <c r="AZ6" s="166" t="s">
        <v>140</v>
      </c>
      <c r="BA6" s="166" t="str">
        <f>VLOOKUP($AZ6,基础数据!$O$6:$P$9,2,0)</f>
        <v>三级</v>
      </c>
      <c r="BB6" s="167">
        <v>42327.608333275464</v>
      </c>
      <c r="BC6" s="168">
        <v>58</v>
      </c>
      <c r="BD6" s="168">
        <f t="array" ref="BD6">VLOOKUP($C6&amp;$D6,IF({1,0},基础数据!$B$3:$B$22&amp;基础数据!$C$3:$C$22,基础数据!$E$3:$E$22),2,0)</f>
        <v>7.5000000000000002E-6</v>
      </c>
      <c r="BE6" s="168">
        <f t="array" ref="BE6">VLOOKUP($C6&amp;$D6,IF({1,0},基础数据!$B$3:$B$22&amp;基础数据!$C$3:$C$22,基础数据!$G$3:$G$22),2,0)</f>
        <v>0.03</v>
      </c>
      <c r="BF6" s="169">
        <f t="array" ref="BF6">VLOOKUP($C6&amp;$D6,IF({1,0},基础数据!$B$3:$B$22&amp;基础数据!$C$3:$C$22,基础数据!$H$3:$H$22),2,0)*BC6^VLOOKUP($C6&amp;$D6,IF({1,0},基础数据!$B$3:$B$22&amp;基础数据!$C$3:$C$22,基础数据!$I$3:$I$22),2,0)</f>
        <v>3.0255964789293697E-5</v>
      </c>
      <c r="BG6" s="168">
        <f t="array" ref="BG6">IF(BC6&lt;10000,VLOOKUP($C6&amp;$D6&amp;$E6,IF({1,0},基础数据!$B$28:$B$51&amp;基础数据!$C$28:$C$51&amp;基础数据!$D$28:$D$51,基础数据!$E$28:$E$51),2,0),VLOOKUP($C6&amp;$D6&amp;$E6,IF({1,0},基础数据!$B$28:$B$51&amp;基础数据!$C$28:$C$51&amp;基础数据!$D$28:$D$51,基础数据!$F$28:$F$51),2,0))*IF($C6="石油炼制",IF($F6=0,1,$F6/($F6-$H6)),1)</f>
        <v>6.0000000000000002E-5</v>
      </c>
      <c r="BH6" s="169"/>
      <c r="BI6" s="168">
        <f t="array" ref="BI6">VLOOKUP($C6&amp;$D6&amp;$E6,IF({1,0},基础数据!$B$54:$B$79&amp;基础数据!$C$54:$C$79&amp;基础数据!$D$54:$D$79,基础数据!$E$54:$E$79),2,0)*IF($C6="石油炼制",IF($F6=0,1,$F6/($F6-$H6)),1)</f>
        <v>2.5000000000000001E-4</v>
      </c>
      <c r="BJ6" s="168">
        <v>3</v>
      </c>
      <c r="BK6" s="169">
        <f t="shared" si="5"/>
        <v>1.8000000000000001E-4</v>
      </c>
      <c r="BL6" s="170">
        <f t="shared" si="6"/>
        <v>0</v>
      </c>
      <c r="BM6" s="170">
        <f t="shared" si="7"/>
        <v>0</v>
      </c>
      <c r="BN6" s="151">
        <v>42410.574999942131</v>
      </c>
      <c r="BO6" s="159">
        <f t="shared" si="8"/>
        <v>0.61331185458866311</v>
      </c>
    </row>
    <row r="7" spans="1:67">
      <c r="A7" s="171">
        <v>4</v>
      </c>
      <c r="B7" s="172"/>
      <c r="C7" s="172" t="str">
        <f>排放量计算表!D$2</f>
        <v>石油炼制</v>
      </c>
      <c r="D7" s="172" t="s">
        <v>95</v>
      </c>
      <c r="E7" s="172" t="s">
        <v>33</v>
      </c>
      <c r="F7" s="150"/>
      <c r="G7" s="150"/>
      <c r="H7" s="150"/>
      <c r="I7" s="151">
        <v>41956.598611111112</v>
      </c>
      <c r="J7" s="152" t="s">
        <v>134</v>
      </c>
      <c r="K7" s="152" t="str">
        <f>VLOOKUP($J7,基础数据!$O$6:$P$9,2,0)</f>
        <v>二级</v>
      </c>
      <c r="L7" s="153">
        <v>42067.34375</v>
      </c>
      <c r="M7" s="154">
        <v>59</v>
      </c>
      <c r="N7" s="154">
        <f t="array" ref="N7">VLOOKUP($C7&amp;$D7,IF({1,0},基础数据!$B$3:$B$22&amp;基础数据!$C$3:$C$22,基础数据!$E$3:$E$22),2,0)</f>
        <v>7.5000000000000002E-6</v>
      </c>
      <c r="O7" s="154">
        <f t="array" ref="O7">VLOOKUP($C7&amp;$D7,IF({1,0},基础数据!$B$3:$B$22&amp;基础数据!$C$3:$C$22,基础数据!$G$3:$G$22),2,0)</f>
        <v>0.03</v>
      </c>
      <c r="P7" s="155">
        <f t="array" ref="P7">VLOOKUP($C7&amp;$D7,IF({1,0},基础数据!$B$3:$B$22&amp;基础数据!$C$3:$C$22,基础数据!$H$3:$H$22),2,0)*M7^VLOOKUP($C7&amp;$D7,IF({1,0},基础数据!$B$3:$B$22&amp;基础数据!$C$3:$C$22,基础数据!$I$3:$I$22),2,0)</f>
        <v>3.0638511293800498E-5</v>
      </c>
      <c r="Q7" s="154">
        <f t="array" ref="Q7">IF(M7&lt;10000,VLOOKUP($C7&amp;$D7&amp;$E7,IF({1,0},基础数据!$B$28:$B$51&amp;基础数据!$C$28:$C$51&amp;基础数据!$D$28:$D$51,基础数据!$E$28:$E$51),2,0),VLOOKUP($C7&amp;$D7&amp;$E7,IF({1,0},基础数据!$B$28:$B$51&amp;基础数据!$C$28:$C$51&amp;基础数据!$D$28:$D$51,基础数据!$F$28:$F$51),2,0))*IF($C7="石油炼制",IF($F7=0,1,$F7/($F7-$H7)),1)</f>
        <v>6.0000000000000002E-5</v>
      </c>
      <c r="R7" s="155"/>
      <c r="S7" s="154">
        <f t="array" ref="S7">VLOOKUP($C7&amp;$D7&amp;$E7,IF({1,0},基础数据!$B$54:$B$79&amp;基础数据!$C$54:$C$79&amp;基础数据!$D$54:$D$79,基础数据!$E$54:$E$79),2,0)*IF($C7="石油炼制",IF($F7=0,1,$F7/($F7-$H7)),1)</f>
        <v>2.5000000000000001E-4</v>
      </c>
      <c r="T7" s="154">
        <v>4</v>
      </c>
      <c r="U7" s="155">
        <f t="shared" si="0"/>
        <v>1.2255404517520199E-4</v>
      </c>
      <c r="V7" s="156">
        <f t="shared" si="9"/>
        <v>2650.1499999999942</v>
      </c>
      <c r="W7" s="156">
        <f t="shared" si="10"/>
        <v>0.32478660282106087</v>
      </c>
      <c r="X7" s="157" t="s">
        <v>134</v>
      </c>
      <c r="Y7" s="157" t="str">
        <f>VLOOKUP($X7,基础数据!$O$6:$P$9,2,0)</f>
        <v>二级</v>
      </c>
      <c r="Z7" s="158">
        <v>42177.444444444445</v>
      </c>
      <c r="AA7" s="150">
        <v>59</v>
      </c>
      <c r="AB7" s="150">
        <f t="array" ref="AB7">VLOOKUP($C7&amp;$D7,IF({1,0},基础数据!$B$3:$B$22&amp;基础数据!$C$3:$C$22,基础数据!$E$3:$E$22),2,0)</f>
        <v>7.5000000000000002E-6</v>
      </c>
      <c r="AC7" s="150">
        <f t="array" ref="AC7">VLOOKUP($C7&amp;$D7,IF({1,0},基础数据!$B$3:$B$22&amp;基础数据!$C$3:$C$22,基础数据!$G$3:$G$22),2,0)</f>
        <v>0.03</v>
      </c>
      <c r="AD7" s="159">
        <f t="array" ref="AD7">VLOOKUP($C7&amp;$D7,IF({1,0},基础数据!$B$3:$B$22&amp;基础数据!$C$3:$C$22,基础数据!$H$3:$H$22),2,0)*AA7^VLOOKUP($C7&amp;$D7,IF({1,0},基础数据!$B$3:$B$22&amp;基础数据!$C$3:$C$22,基础数据!$I$3:$I$22),2,0)</f>
        <v>3.0638511293800498E-5</v>
      </c>
      <c r="AE7" s="150">
        <f t="array" ref="AE7">IF(AA7&lt;10000,VLOOKUP($C7&amp;$D7&amp;$E7,IF({1,0},基础数据!$B$28:$B$51&amp;基础数据!$C$28:$C$51&amp;基础数据!$D$28:$D$51,基础数据!$E$28:$E$51),2,0),VLOOKUP($C7&amp;$D7&amp;$E7,IF({1,0},基础数据!$B$28:$B$51&amp;基础数据!$C$28:$C$51&amp;基础数据!$D$28:$D$51,基础数据!$F$28:$F$51),2,0))*IF($C7="石油炼制",IF($F7=0,1,$F7/($F7-$H7)),1)</f>
        <v>6.0000000000000002E-5</v>
      </c>
      <c r="AF7" s="159"/>
      <c r="AG7" s="150">
        <f t="array" ref="AG7">VLOOKUP($C7&amp;$D7&amp;$E7,IF({1,0},基础数据!$B$54:$B$79&amp;基础数据!$C$54:$C$79&amp;基础数据!$D$54:$D$79,基础数据!$E$54:$E$79),2,0)*IF($C7="石油炼制",IF($F7=0,1,$F7/($F7-$H7)),1)</f>
        <v>2.5000000000000001E-4</v>
      </c>
      <c r="AH7" s="150">
        <v>4</v>
      </c>
      <c r="AI7" s="159">
        <f t="shared" si="1"/>
        <v>1.2255404517520199E-4</v>
      </c>
      <c r="AJ7" s="160">
        <f t="shared" si="2"/>
        <v>4130.7749993055768</v>
      </c>
      <c r="AK7" s="160">
        <f t="shared" si="11"/>
        <v>0.5062431858734906</v>
      </c>
      <c r="AL7" s="161" t="s">
        <v>140</v>
      </c>
      <c r="AM7" s="161" t="str">
        <f>VLOOKUP($AL7,基础数据!$O$6:$P$9,2,0)</f>
        <v>三级</v>
      </c>
      <c r="AN7" s="162">
        <v>42256.385416608799</v>
      </c>
      <c r="AO7" s="163">
        <v>59</v>
      </c>
      <c r="AP7" s="163">
        <f t="array" ref="AP7">VLOOKUP($C7&amp;$D7,IF({1,0},基础数据!$B$3:$B$22&amp;基础数据!$C$3:$C$22,基础数据!$E$3:$E$22),2,0)</f>
        <v>7.5000000000000002E-6</v>
      </c>
      <c r="AQ7" s="163">
        <f t="array" ref="AQ7">VLOOKUP($C7&amp;$D7,IF({1,0},基础数据!$B$3:$B$22&amp;基础数据!$C$3:$C$22,基础数据!$G$3:$G$22),2,0)</f>
        <v>0.03</v>
      </c>
      <c r="AR7" s="164">
        <f t="array" ref="AR7">VLOOKUP($C7&amp;$D7,IF({1,0},基础数据!$B$3:$B$22&amp;基础数据!$C$3:$C$22,基础数据!$H$3:$H$22),2,0)*AO7^VLOOKUP($C7&amp;$D7,IF({1,0},基础数据!$B$3:$B$22&amp;基础数据!$C$3:$C$22,基础数据!$I$3:$I$22),2,0)</f>
        <v>3.0638511293800498E-5</v>
      </c>
      <c r="AS7" s="163">
        <f t="array" ref="AS7">IF(AO7&lt;10000,VLOOKUP($C7&amp;$D7&amp;$E7,IF({1,0},基础数据!$B$28:$B$51&amp;基础数据!$C$28:$C$51&amp;基础数据!$D$28:$D$51,基础数据!$E$28:$E$51),2,0),VLOOKUP($C7&amp;$D7&amp;$E7,IF({1,0},基础数据!$B$28:$B$51&amp;基础数据!$C$28:$C$51&amp;基础数据!$D$28:$D$51,基础数据!$F$28:$F$51),2,0))*IF($C7="石油炼制",IF($F7=0,1,$F7/($F7-$H7)),1)</f>
        <v>6.0000000000000002E-5</v>
      </c>
      <c r="AT7" s="164"/>
      <c r="AU7" s="163">
        <f t="array" ref="AU7">VLOOKUP($C7&amp;$D7&amp;$E7,IF({1,0},基础数据!$B$54:$B$79&amp;基础数据!$C$54:$C$79&amp;基础数据!$D$54:$D$79,基础数据!$E$54:$E$79),2,0)*IF($C7="石油炼制",IF($F7=0,1,$F7/($F7-$H7)),1)</f>
        <v>2.5000000000000001E-4</v>
      </c>
      <c r="AV7" s="163">
        <v>4</v>
      </c>
      <c r="AW7" s="164">
        <f t="shared" si="3"/>
        <v>2.4000000000000001E-4</v>
      </c>
      <c r="AX7" s="165">
        <f t="shared" si="4"/>
        <v>0</v>
      </c>
      <c r="AY7" s="165">
        <f t="shared" si="12"/>
        <v>0</v>
      </c>
      <c r="AZ7" s="166" t="s">
        <v>140</v>
      </c>
      <c r="BA7" s="166" t="str">
        <f>VLOOKUP($AZ7,基础数据!$O$6:$P$9,2,0)</f>
        <v>三级</v>
      </c>
      <c r="BB7" s="167">
        <v>42328.608333275464</v>
      </c>
      <c r="BC7" s="168">
        <v>59</v>
      </c>
      <c r="BD7" s="168">
        <f t="array" ref="BD7">VLOOKUP($C7&amp;$D7,IF({1,0},基础数据!$B$3:$B$22&amp;基础数据!$C$3:$C$22,基础数据!$E$3:$E$22),2,0)</f>
        <v>7.5000000000000002E-6</v>
      </c>
      <c r="BE7" s="168">
        <f t="array" ref="BE7">VLOOKUP($C7&amp;$D7,IF({1,0},基础数据!$B$3:$B$22&amp;基础数据!$C$3:$C$22,基础数据!$G$3:$G$22),2,0)</f>
        <v>0.03</v>
      </c>
      <c r="BF7" s="169">
        <f t="array" ref="BF7">VLOOKUP($C7&amp;$D7,IF({1,0},基础数据!$B$3:$B$22&amp;基础数据!$C$3:$C$22,基础数据!$H$3:$H$22),2,0)*BC7^VLOOKUP($C7&amp;$D7,IF({1,0},基础数据!$B$3:$B$22&amp;基础数据!$C$3:$C$22,基础数据!$I$3:$I$22),2,0)</f>
        <v>3.0638511293800498E-5</v>
      </c>
      <c r="BG7" s="168">
        <f t="array" ref="BG7">IF(BC7&lt;10000,VLOOKUP($C7&amp;$D7&amp;$E7,IF({1,0},基础数据!$B$28:$B$51&amp;基础数据!$C$28:$C$51&amp;基础数据!$D$28:$D$51,基础数据!$E$28:$E$51),2,0),VLOOKUP($C7&amp;$D7&amp;$E7,IF({1,0},基础数据!$B$28:$B$51&amp;基础数据!$C$28:$C$51&amp;基础数据!$D$28:$D$51,基础数据!$F$28:$F$51),2,0))*IF($C7="石油炼制",IF($F7=0,1,$F7/($F7-$H7)),1)</f>
        <v>6.0000000000000002E-5</v>
      </c>
      <c r="BH7" s="169"/>
      <c r="BI7" s="168">
        <f t="array" ref="BI7">VLOOKUP($C7&amp;$D7&amp;$E7,IF({1,0},基础数据!$B$54:$B$79&amp;基础数据!$C$54:$C$79&amp;基础数据!$D$54:$D$79,基础数据!$E$54:$E$79),2,0)*IF($C7="石油炼制",IF($F7=0,1,$F7/($F7-$H7)),1)</f>
        <v>2.5000000000000001E-4</v>
      </c>
      <c r="BJ7" s="168">
        <v>4</v>
      </c>
      <c r="BK7" s="169">
        <f t="shared" si="5"/>
        <v>2.4000000000000001E-4</v>
      </c>
      <c r="BL7" s="170">
        <f t="shared" si="6"/>
        <v>0</v>
      </c>
      <c r="BM7" s="170">
        <f t="shared" si="7"/>
        <v>0</v>
      </c>
      <c r="BN7" s="151">
        <v>42411.574999942131</v>
      </c>
      <c r="BO7" s="159">
        <f t="shared" si="8"/>
        <v>0.83102978869455146</v>
      </c>
    </row>
    <row r="8" spans="1:67">
      <c r="A8" s="149">
        <v>5</v>
      </c>
      <c r="B8" s="150"/>
      <c r="C8" s="150" t="s">
        <v>118</v>
      </c>
      <c r="D8" s="150" t="s">
        <v>95</v>
      </c>
      <c r="E8" s="150" t="s">
        <v>33</v>
      </c>
      <c r="F8" s="150"/>
      <c r="G8" s="150"/>
      <c r="H8" s="150"/>
      <c r="I8" s="151">
        <v>41956.598611111112</v>
      </c>
      <c r="J8" s="152" t="s">
        <v>135</v>
      </c>
      <c r="K8" s="152" t="str">
        <f>VLOOKUP($J8,基础数据!$O$6:$P$9,2,0)</f>
        <v>四级</v>
      </c>
      <c r="L8" s="153">
        <v>42067.34375</v>
      </c>
      <c r="M8" s="154">
        <v>60</v>
      </c>
      <c r="N8" s="154">
        <f t="array" ref="N8">VLOOKUP($C8&amp;$D8,IF({1,0},基础数据!$B$3:$B$22&amp;基础数据!$C$3:$C$22,基础数据!$E$3:$E$22),2,0)</f>
        <v>7.5000000000000002E-6</v>
      </c>
      <c r="O8" s="154">
        <f t="array" ref="O8">VLOOKUP($C8&amp;$D8,IF({1,0},基础数据!$B$3:$B$22&amp;基础数据!$C$3:$C$22,基础数据!$G$3:$G$22),2,0)</f>
        <v>0.03</v>
      </c>
      <c r="P8" s="155">
        <f t="array" ref="P8">VLOOKUP($C8&amp;$D8,IF({1,0},基础数据!$B$3:$B$22&amp;基础数据!$C$3:$C$22,基础数据!$H$3:$H$22),2,0)*M8^VLOOKUP($C8&amp;$D8,IF({1,0},基础数据!$B$3:$B$22&amp;基础数据!$C$3:$C$22,基础数据!$I$3:$I$22),2,0)</f>
        <v>3.1019343341133291E-5</v>
      </c>
      <c r="Q8" s="154">
        <f t="array" ref="Q8">IF(M8&lt;10000,VLOOKUP($C8&amp;$D8&amp;$E8,IF({1,0},基础数据!$B$28:$B$51&amp;基础数据!$C$28:$C$51&amp;基础数据!$D$28:$D$51,基础数据!$E$28:$E$51),2,0),VLOOKUP($C8&amp;$D8&amp;$E8,IF({1,0},基础数据!$B$28:$B$51&amp;基础数据!$C$28:$C$51&amp;基础数据!$D$28:$D$51,基础数据!$F$28:$F$51),2,0))*IF($C8="石油炼制",IF($F8=0,1,$F8/($F8-$H8)),1)</f>
        <v>6.0000000000000002E-5</v>
      </c>
      <c r="R8" s="155"/>
      <c r="S8" s="154">
        <f t="array" ref="S8">VLOOKUP($C8&amp;$D8&amp;$E8,IF({1,0},基础数据!$B$54:$B$79&amp;基础数据!$C$54:$C$79&amp;基础数据!$D$54:$D$79,基础数据!$E$54:$E$79),2,0)*IF($C8="石油炼制",IF($F8=0,1,$F8/($F8-$H8)),1)</f>
        <v>2.5000000000000001E-4</v>
      </c>
      <c r="T8" s="154">
        <v>5</v>
      </c>
      <c r="U8" s="155">
        <f t="shared" si="0"/>
        <v>1.25E-3</v>
      </c>
      <c r="V8" s="156">
        <f t="shared" si="9"/>
        <v>2662.1499999999942</v>
      </c>
      <c r="W8" s="156">
        <f t="shared" si="10"/>
        <v>3.3276874999999926</v>
      </c>
      <c r="X8" s="157" t="s">
        <v>140</v>
      </c>
      <c r="Y8" s="157" t="str">
        <f>VLOOKUP($X8,基础数据!$O$6:$P$9,2,0)</f>
        <v>三级</v>
      </c>
      <c r="Z8" s="158">
        <v>42178.444444444445</v>
      </c>
      <c r="AA8" s="150">
        <v>60</v>
      </c>
      <c r="AB8" s="150">
        <f t="array" ref="AB8">VLOOKUP($C8&amp;$D8,IF({1,0},基础数据!$B$3:$B$22&amp;基础数据!$C$3:$C$22,基础数据!$E$3:$E$22),2,0)</f>
        <v>7.5000000000000002E-6</v>
      </c>
      <c r="AC8" s="150">
        <f t="array" ref="AC8">VLOOKUP($C8&amp;$D8,IF({1,0},基础数据!$B$3:$B$22&amp;基础数据!$C$3:$C$22,基础数据!$G$3:$G$22),2,0)</f>
        <v>0.03</v>
      </c>
      <c r="AD8" s="159">
        <f t="array" ref="AD8">VLOOKUP($C8&amp;$D8,IF({1,0},基础数据!$B$3:$B$22&amp;基础数据!$C$3:$C$22,基础数据!$H$3:$H$22),2,0)*AA8^VLOOKUP($C8&amp;$D8,IF({1,0},基础数据!$B$3:$B$22&amp;基础数据!$C$3:$C$22,基础数据!$I$3:$I$22),2,0)</f>
        <v>3.1019343341133291E-5</v>
      </c>
      <c r="AE8" s="150">
        <f t="array" ref="AE8">IF(AA8&lt;10000,VLOOKUP($C8&amp;$D8&amp;$E8,IF({1,0},基础数据!$B$28:$B$51&amp;基础数据!$C$28:$C$51&amp;基础数据!$D$28:$D$51,基础数据!$E$28:$E$51),2,0),VLOOKUP($C8&amp;$D8&amp;$E8,IF({1,0},基础数据!$B$28:$B$51&amp;基础数据!$C$28:$C$51&amp;基础数据!$D$28:$D$51,基础数据!$F$28:$F$51),2,0))*IF($C8="石油炼制",IF($F8=0,1,$F8/($F8-$H8)),1)</f>
        <v>6.0000000000000002E-5</v>
      </c>
      <c r="AF8" s="159"/>
      <c r="AG8" s="150">
        <f t="array" ref="AG8">VLOOKUP($C8&amp;$D8&amp;$E8,IF({1,0},基础数据!$B$54:$B$79&amp;基础数据!$C$54:$C$79&amp;基础数据!$D$54:$D$79,基础数据!$E$54:$E$79),2,0)*IF($C8="石油炼制",IF($F8=0,1,$F8/($F8-$H8)),1)</f>
        <v>2.5000000000000001E-4</v>
      </c>
      <c r="AH8" s="150">
        <v>5</v>
      </c>
      <c r="AI8" s="159">
        <f t="shared" si="1"/>
        <v>3.0000000000000003E-4</v>
      </c>
      <c r="AJ8" s="160">
        <f t="shared" si="2"/>
        <v>4142.7749993055768</v>
      </c>
      <c r="AK8" s="160">
        <f t="shared" si="11"/>
        <v>1.2428324997916731</v>
      </c>
      <c r="AL8" s="161" t="s">
        <v>134</v>
      </c>
      <c r="AM8" s="161" t="str">
        <f>VLOOKUP($AL8,基础数据!$O$6:$P$9,2,0)</f>
        <v>二级</v>
      </c>
      <c r="AN8" s="162">
        <v>42257.385416608799</v>
      </c>
      <c r="AO8" s="163">
        <v>60</v>
      </c>
      <c r="AP8" s="163">
        <f t="array" ref="AP8">VLOOKUP($C8&amp;$D8,IF({1,0},基础数据!$B$3:$B$22&amp;基础数据!$C$3:$C$22,基础数据!$E$3:$E$22),2,0)</f>
        <v>7.5000000000000002E-6</v>
      </c>
      <c r="AQ8" s="163">
        <f t="array" ref="AQ8">VLOOKUP($C8&amp;$D8,IF({1,0},基础数据!$B$3:$B$22&amp;基础数据!$C$3:$C$22,基础数据!$G$3:$G$22),2,0)</f>
        <v>0.03</v>
      </c>
      <c r="AR8" s="164">
        <f t="array" ref="AR8">VLOOKUP($C8&amp;$D8,IF({1,0},基础数据!$B$3:$B$22&amp;基础数据!$C$3:$C$22,基础数据!$H$3:$H$22),2,0)*AO8^VLOOKUP($C8&amp;$D8,IF({1,0},基础数据!$B$3:$B$22&amp;基础数据!$C$3:$C$22,基础数据!$I$3:$I$22),2,0)</f>
        <v>3.1019343341133291E-5</v>
      </c>
      <c r="AS8" s="163">
        <f t="array" ref="AS8">IF(AO8&lt;10000,VLOOKUP($C8&amp;$D8&amp;$E8,IF({1,0},基础数据!$B$28:$B$51&amp;基础数据!$C$28:$C$51&amp;基础数据!$D$28:$D$51,基础数据!$E$28:$E$51),2,0),VLOOKUP($C8&amp;$D8&amp;$E8,IF({1,0},基础数据!$B$28:$B$51&amp;基础数据!$C$28:$C$51&amp;基础数据!$D$28:$D$51,基础数据!$F$28:$F$51),2,0))*IF($C8="石油炼制",IF($F8=0,1,$F8/($F8-$H8)),1)</f>
        <v>6.0000000000000002E-5</v>
      </c>
      <c r="AT8" s="164"/>
      <c r="AU8" s="163">
        <f t="array" ref="AU8">VLOOKUP($C8&amp;$D8&amp;$E8,IF({1,0},基础数据!$B$54:$B$79&amp;基础数据!$C$54:$C$79&amp;基础数据!$D$54:$D$79,基础数据!$E$54:$E$79),2,0)*IF($C8="石油炼制",IF($F8=0,1,$F8/($F8-$H8)),1)</f>
        <v>2.5000000000000001E-4</v>
      </c>
      <c r="AV8" s="163">
        <v>5</v>
      </c>
      <c r="AW8" s="164">
        <f t="shared" si="3"/>
        <v>1.5509671670566646E-4</v>
      </c>
      <c r="AX8" s="165">
        <f t="shared" si="4"/>
        <v>0</v>
      </c>
      <c r="AY8" s="165">
        <f t="shared" si="12"/>
        <v>0</v>
      </c>
      <c r="AZ8" s="166" t="s">
        <v>134</v>
      </c>
      <c r="BA8" s="166" t="str">
        <f>VLOOKUP($AZ8,基础数据!$O$6:$P$9,2,0)</f>
        <v>二级</v>
      </c>
      <c r="BB8" s="167">
        <v>42329.608333275464</v>
      </c>
      <c r="BC8" s="168">
        <v>60</v>
      </c>
      <c r="BD8" s="168">
        <f t="array" ref="BD8">VLOOKUP($C8&amp;$D8,IF({1,0},基础数据!$B$3:$B$22&amp;基础数据!$C$3:$C$22,基础数据!$E$3:$E$22),2,0)</f>
        <v>7.5000000000000002E-6</v>
      </c>
      <c r="BE8" s="168">
        <f t="array" ref="BE8">VLOOKUP($C8&amp;$D8,IF({1,0},基础数据!$B$3:$B$22&amp;基础数据!$C$3:$C$22,基础数据!$G$3:$G$22),2,0)</f>
        <v>0.03</v>
      </c>
      <c r="BF8" s="169">
        <f t="array" ref="BF8">VLOOKUP($C8&amp;$D8,IF({1,0},基础数据!$B$3:$B$22&amp;基础数据!$C$3:$C$22,基础数据!$H$3:$H$22),2,0)*BC8^VLOOKUP($C8&amp;$D8,IF({1,0},基础数据!$B$3:$B$22&amp;基础数据!$C$3:$C$22,基础数据!$I$3:$I$22),2,0)</f>
        <v>3.1019343341133291E-5</v>
      </c>
      <c r="BG8" s="168">
        <f t="array" ref="BG8">IF(BC8&lt;10000,VLOOKUP($C8&amp;$D8&amp;$E8,IF({1,0},基础数据!$B$28:$B$51&amp;基础数据!$C$28:$C$51&amp;基础数据!$D$28:$D$51,基础数据!$E$28:$E$51),2,0),VLOOKUP($C8&amp;$D8&amp;$E8,IF({1,0},基础数据!$B$28:$B$51&amp;基础数据!$C$28:$C$51&amp;基础数据!$D$28:$D$51,基础数据!$F$28:$F$51),2,0))*IF($C8="石油炼制",IF($F8=0,1,$F8/($F8-$H8)),1)</f>
        <v>6.0000000000000002E-5</v>
      </c>
      <c r="BH8" s="169"/>
      <c r="BI8" s="168">
        <f t="array" ref="BI8">VLOOKUP($C8&amp;$D8&amp;$E8,IF({1,0},基础数据!$B$54:$B$79&amp;基础数据!$C$54:$C$79&amp;基础数据!$D$54:$D$79,基础数据!$E$54:$E$79),2,0)*IF($C8="石油炼制",IF($F8=0,1,$F8/($F8-$H8)),1)</f>
        <v>2.5000000000000001E-4</v>
      </c>
      <c r="BJ8" s="168">
        <v>5</v>
      </c>
      <c r="BK8" s="169">
        <f t="shared" si="5"/>
        <v>1.5509671670566646E-4</v>
      </c>
      <c r="BL8" s="170">
        <f t="shared" si="6"/>
        <v>0</v>
      </c>
      <c r="BM8" s="170">
        <f t="shared" si="7"/>
        <v>0</v>
      </c>
      <c r="BN8" s="151">
        <v>42412.574999942131</v>
      </c>
      <c r="BO8" s="159">
        <f t="shared" si="8"/>
        <v>4.5705199997916655</v>
      </c>
    </row>
    <row r="9" spans="1:67">
      <c r="A9" s="171">
        <v>6</v>
      </c>
      <c r="B9" s="172"/>
      <c r="C9" s="172" t="s">
        <v>121</v>
      </c>
      <c r="D9" s="172" t="s">
        <v>190</v>
      </c>
      <c r="E9" s="172" t="s">
        <v>33</v>
      </c>
      <c r="F9" s="150"/>
      <c r="G9" s="150"/>
      <c r="H9" s="150"/>
      <c r="I9" s="151">
        <v>41956.598611111112</v>
      </c>
      <c r="J9" s="152" t="s">
        <v>135</v>
      </c>
      <c r="K9" s="152" t="str">
        <f>VLOOKUP($J9,基础数据!$O$6:$P$9,2,0)</f>
        <v>四级</v>
      </c>
      <c r="L9" s="153">
        <v>42067.34375</v>
      </c>
      <c r="M9" s="154">
        <v>61</v>
      </c>
      <c r="N9" s="154">
        <f t="array" ref="N9">VLOOKUP($C9&amp;$D9,IF({1,0},基础数据!$B$3:$B$22&amp;基础数据!$C$3:$C$22,基础数据!$E$3:$E$22),2,0)</f>
        <v>1.9999999999999999E-6</v>
      </c>
      <c r="O9" s="154">
        <f t="array" ref="O9">VLOOKUP($C9&amp;$D9,IF({1,0},基础数据!$B$3:$B$22&amp;基础数据!$C$3:$C$22,基础数据!$G$3:$G$22),2,0)</f>
        <v>7.9000000000000001E-2</v>
      </c>
      <c r="P9" s="155">
        <f t="array" ref="P9">VLOOKUP($C9&amp;$D9,IF({1,0},基础数据!$B$3:$B$22&amp;基础数据!$C$3:$C$22,基础数据!$H$3:$H$22),2,0)*M9^VLOOKUP($C9&amp;$D9,IF({1,0},基础数据!$B$3:$B$22&amp;基础数据!$C$3:$C$22,基础数据!$I$3:$I$22),2,0)</f>
        <v>3.9746133293847451E-5</v>
      </c>
      <c r="Q9" s="154">
        <f t="array" ref="Q9">IF(M9&lt;10000,VLOOKUP($C9&amp;$D9&amp;$E9,IF({1,0},基础数据!$B$28:$B$51&amp;基础数据!$C$28:$C$51&amp;基础数据!$D$28:$D$51,基础数据!$E$28:$E$51),2,0),VLOOKUP($C9&amp;$D9&amp;$E9,IF({1,0},基础数据!$B$28:$B$51&amp;基础数据!$C$28:$C$51&amp;基础数据!$D$28:$D$51,基础数据!$F$28:$F$51),2,0))*IF($C9="石油炼制",IF($F9=0,1,$F9/($F9-$H9)),1)</f>
        <v>1.5E-3</v>
      </c>
      <c r="R9" s="155"/>
      <c r="S9" s="154">
        <f t="array" ref="S9">VLOOKUP($C9&amp;$D9&amp;$E9,IF({1,0},基础数据!$B$54:$B$79&amp;基础数据!$C$54:$C$79&amp;基础数据!$D$54:$D$79,基础数据!$E$54:$E$79),2,0)*IF($C9="石油炼制",IF($F9=0,1,$F9/($F9-$H9)),1)</f>
        <v>1.6999999999999999E-3</v>
      </c>
      <c r="T9" s="154">
        <v>6</v>
      </c>
      <c r="U9" s="155">
        <f t="shared" si="0"/>
        <v>1.0199999999999999E-2</v>
      </c>
      <c r="V9" s="156">
        <f t="shared" si="9"/>
        <v>2674.1499999999942</v>
      </c>
      <c r="W9" s="156">
        <f t="shared" si="10"/>
        <v>27.276329999999938</v>
      </c>
      <c r="X9" s="157" t="s">
        <v>135</v>
      </c>
      <c r="Y9" s="157" t="str">
        <f>VLOOKUP($X9,基础数据!$O$6:$P$9,2,0)</f>
        <v>四级</v>
      </c>
      <c r="Z9" s="158">
        <v>42179.444444444445</v>
      </c>
      <c r="AA9" s="150">
        <v>61</v>
      </c>
      <c r="AB9" s="150">
        <f t="array" ref="AB9">VLOOKUP($C9&amp;$D9,IF({1,0},基础数据!$B$3:$B$22&amp;基础数据!$C$3:$C$22,基础数据!$E$3:$E$22),2,0)</f>
        <v>1.9999999999999999E-6</v>
      </c>
      <c r="AC9" s="150">
        <f t="array" ref="AC9">VLOOKUP($C9&amp;$D9,IF({1,0},基础数据!$B$3:$B$22&amp;基础数据!$C$3:$C$22,基础数据!$G$3:$G$22),2,0)</f>
        <v>7.9000000000000001E-2</v>
      </c>
      <c r="AD9" s="159">
        <f t="array" ref="AD9">VLOOKUP($C9&amp;$D9,IF({1,0},基础数据!$B$3:$B$22&amp;基础数据!$C$3:$C$22,基础数据!$H$3:$H$22),2,0)*AA9^VLOOKUP($C9&amp;$D9,IF({1,0},基础数据!$B$3:$B$22&amp;基础数据!$C$3:$C$22,基础数据!$I$3:$I$22),2,0)</f>
        <v>3.9746133293847451E-5</v>
      </c>
      <c r="AE9" s="150">
        <f t="array" ref="AE9">IF(AA9&lt;10000,VLOOKUP($C9&amp;$D9&amp;$E9,IF({1,0},基础数据!$B$28:$B$51&amp;基础数据!$C$28:$C$51&amp;基础数据!$D$28:$D$51,基础数据!$E$28:$E$51),2,0),VLOOKUP($C9&amp;$D9&amp;$E9,IF({1,0},基础数据!$B$28:$B$51&amp;基础数据!$C$28:$C$51&amp;基础数据!$D$28:$D$51,基础数据!$F$28:$F$51),2,0))*IF($C9="石油炼制",IF($F9=0,1,$F9/($F9-$H9)),1)</f>
        <v>1.5E-3</v>
      </c>
      <c r="AF9" s="159"/>
      <c r="AG9" s="150">
        <f t="array" ref="AG9">VLOOKUP($C9&amp;$D9&amp;$E9,IF({1,0},基础数据!$B$54:$B$79&amp;基础数据!$C$54:$C$79&amp;基础数据!$D$54:$D$79,基础数据!$E$54:$E$79),2,0)*IF($C9="石油炼制",IF($F9=0,1,$F9/($F9-$H9)),1)</f>
        <v>1.6999999999999999E-3</v>
      </c>
      <c r="AH9" s="150">
        <v>6</v>
      </c>
      <c r="AI9" s="159">
        <f t="shared" si="1"/>
        <v>1.0199999999999999E-2</v>
      </c>
      <c r="AJ9" s="160">
        <f t="shared" si="2"/>
        <v>2292.4999993055826</v>
      </c>
      <c r="AK9" s="160">
        <f t="shared" si="11"/>
        <v>23.383499992916942</v>
      </c>
      <c r="AL9" s="161" t="s">
        <v>134</v>
      </c>
      <c r="AM9" s="161" t="str">
        <f>VLOOKUP($AL9,基础数据!$O$6:$P$9,2,0)</f>
        <v>二级</v>
      </c>
      <c r="AN9" s="162">
        <v>42258.385416608799</v>
      </c>
      <c r="AO9" s="163">
        <v>61</v>
      </c>
      <c r="AP9" s="163">
        <f t="array" ref="AP9">VLOOKUP($C9&amp;$D9,IF({1,0},基础数据!$B$3:$B$22&amp;基础数据!$C$3:$C$22,基础数据!$E$3:$E$22),2,0)</f>
        <v>1.9999999999999999E-6</v>
      </c>
      <c r="AQ9" s="163">
        <f t="array" ref="AQ9">VLOOKUP($C9&amp;$D9,IF({1,0},基础数据!$B$3:$B$22&amp;基础数据!$C$3:$C$22,基础数据!$G$3:$G$22),2,0)</f>
        <v>7.9000000000000001E-2</v>
      </c>
      <c r="AR9" s="164">
        <f t="array" ref="AR9">VLOOKUP($C9&amp;$D9,IF({1,0},基础数据!$B$3:$B$22&amp;基础数据!$C$3:$C$22,基础数据!$H$3:$H$22),2,0)*AO9^VLOOKUP($C9&amp;$D9,IF({1,0},基础数据!$B$3:$B$22&amp;基础数据!$C$3:$C$22,基础数据!$I$3:$I$22),2,0)</f>
        <v>3.9746133293847451E-5</v>
      </c>
      <c r="AS9" s="163">
        <f t="array" ref="AS9">IF(AO9&lt;10000,VLOOKUP($C9&amp;$D9&amp;$E9,IF({1,0},基础数据!$B$28:$B$51&amp;基础数据!$C$28:$C$51&amp;基础数据!$D$28:$D$51,基础数据!$E$28:$E$51),2,0),VLOOKUP($C9&amp;$D9&amp;$E9,IF({1,0},基础数据!$B$28:$B$51&amp;基础数据!$C$28:$C$51&amp;基础数据!$D$28:$D$51,基础数据!$F$28:$F$51),2,0))*IF($C9="石油炼制",IF($F9=0,1,$F9/($F9-$H9)),1)</f>
        <v>1.5E-3</v>
      </c>
      <c r="AT9" s="164"/>
      <c r="AU9" s="163">
        <f t="array" ref="AU9">VLOOKUP($C9&amp;$D9&amp;$E9,IF({1,0},基础数据!$B$54:$B$79&amp;基础数据!$C$54:$C$79&amp;基础数据!$D$54:$D$79,基础数据!$E$54:$E$79),2,0)*IF($C9="石油炼制",IF($F9=0,1,$F9/($F9-$H9)),1)</f>
        <v>1.6999999999999999E-3</v>
      </c>
      <c r="AV9" s="163">
        <v>6</v>
      </c>
      <c r="AW9" s="164">
        <f t="shared" si="3"/>
        <v>2.3847679976308469E-4</v>
      </c>
      <c r="AX9" s="165">
        <f t="shared" si="4"/>
        <v>1813.9666659722279</v>
      </c>
      <c r="AY9" s="165">
        <f t="shared" si="12"/>
        <v>0.43258896537796931</v>
      </c>
      <c r="AZ9" s="166" t="s">
        <v>212</v>
      </c>
      <c r="BA9" s="166" t="str">
        <f>VLOOKUP($AZ9,基础数据!$O$6:$P$9,2,0)</f>
        <v>实测</v>
      </c>
      <c r="BB9" s="167">
        <v>42330.608333275464</v>
      </c>
      <c r="BC9" s="168">
        <v>61</v>
      </c>
      <c r="BD9" s="168">
        <f t="array" ref="BD9">VLOOKUP($C9&amp;$D9,IF({1,0},基础数据!$B$3:$B$22&amp;基础数据!$C$3:$C$22,基础数据!$E$3:$E$22),2,0)</f>
        <v>1.9999999999999999E-6</v>
      </c>
      <c r="BE9" s="168">
        <f t="array" ref="BE9">VLOOKUP($C9&amp;$D9,IF({1,0},基础数据!$B$3:$B$22&amp;基础数据!$C$3:$C$22,基础数据!$G$3:$G$22),2,0)</f>
        <v>7.9000000000000001E-2</v>
      </c>
      <c r="BF9" s="169">
        <f t="array" ref="BF9">VLOOKUP($C9&amp;$D9,IF({1,0},基础数据!$B$3:$B$22&amp;基础数据!$C$3:$C$22,基础数据!$H$3:$H$22),2,0)*BC9^VLOOKUP($C9&amp;$D9,IF({1,0},基础数据!$B$3:$B$22&amp;基础数据!$C$3:$C$22,基础数据!$I$3:$I$22),2,0)</f>
        <v>3.9746133293847451E-5</v>
      </c>
      <c r="BG9" s="168">
        <f t="array" ref="BG9">IF(BC9&lt;10000,VLOOKUP($C9&amp;$D9&amp;$E9,IF({1,0},基础数据!$B$28:$B$51&amp;基础数据!$C$28:$C$51&amp;基础数据!$D$28:$D$51,基础数据!$E$28:$E$51),2,0),VLOOKUP($C9&amp;$D9&amp;$E9,IF({1,0},基础数据!$B$28:$B$51&amp;基础数据!$C$28:$C$51&amp;基础数据!$D$28:$D$51,基础数据!$F$28:$F$51),2,0))*IF($C9="石油炼制",IF($F9=0,1,$F9/($F9-$H9)),1)</f>
        <v>1.5E-3</v>
      </c>
      <c r="BH9" s="169"/>
      <c r="BI9" s="168">
        <f t="array" ref="BI9">VLOOKUP($C9&amp;$D9&amp;$E9,IF({1,0},基础数据!$B$54:$B$79&amp;基础数据!$C$54:$C$79&amp;基础数据!$D$54:$D$79,基础数据!$E$54:$E$79),2,0)*IF($C9="石油炼制",IF($F9=0,1,$F9/($F9-$H9)),1)</f>
        <v>1.6999999999999999E-3</v>
      </c>
      <c r="BJ9" s="168">
        <v>6</v>
      </c>
      <c r="BK9" s="169">
        <f t="shared" si="5"/>
        <v>0</v>
      </c>
      <c r="BL9" s="170">
        <f t="shared" si="6"/>
        <v>1862.2749999999942</v>
      </c>
      <c r="BM9" s="170">
        <f t="shared" si="7"/>
        <v>0</v>
      </c>
      <c r="BN9" s="151">
        <v>42413.574999942131</v>
      </c>
      <c r="BO9" s="159">
        <f t="shared" si="8"/>
        <v>51.09241895829485</v>
      </c>
    </row>
    <row r="10" spans="1:67">
      <c r="A10" s="149">
        <v>7</v>
      </c>
      <c r="B10" s="150"/>
      <c r="C10" s="150" t="s">
        <v>118</v>
      </c>
      <c r="D10" s="150" t="s">
        <v>186</v>
      </c>
      <c r="E10" s="150" t="s">
        <v>33</v>
      </c>
      <c r="F10" s="150"/>
      <c r="G10" s="150"/>
      <c r="H10" s="150"/>
      <c r="I10" s="151">
        <v>41956.598611111112</v>
      </c>
      <c r="J10" s="152" t="s">
        <v>140</v>
      </c>
      <c r="K10" s="152" t="str">
        <f>VLOOKUP($J10,基础数据!$O$6:$P$9,2,0)</f>
        <v>三级</v>
      </c>
      <c r="L10" s="153">
        <v>42067.34375</v>
      </c>
      <c r="M10" s="154">
        <v>62</v>
      </c>
      <c r="N10" s="154">
        <f t="array" ref="N10">VLOOKUP($C10&amp;$D10,IF({1,0},基础数据!$B$3:$B$22&amp;基础数据!$C$3:$C$22,基础数据!$E$3:$E$22),2,0)</f>
        <v>3.9999999999999998E-6</v>
      </c>
      <c r="O10" s="154">
        <f t="array" ref="O10">VLOOKUP($C10&amp;$D10,IF({1,0},基础数据!$B$3:$B$22&amp;基础数据!$C$3:$C$22,基础数据!$G$3:$G$22),2,0)</f>
        <v>0.11</v>
      </c>
      <c r="P10" s="155">
        <f t="array" ref="P10">VLOOKUP($C10&amp;$D10,IF({1,0},基础数据!$B$3:$B$22&amp;基础数据!$C$3:$C$22,基础数据!$H$3:$H$22),2,0)*M10^VLOOKUP($C10&amp;$D10,IF({1,0},基础数据!$B$3:$B$22&amp;基础数据!$C$3:$C$22,基础数据!$I$3:$I$22),2,0)</f>
        <v>1.5461713207936571E-4</v>
      </c>
      <c r="Q10" s="154">
        <f t="array" ref="Q10">IF(M10&lt;10000,VLOOKUP($C10&amp;$D10&amp;$E10,IF({1,0},基础数据!$B$28:$B$51&amp;基础数据!$C$28:$C$51&amp;基础数据!$D$28:$D$51,基础数据!$E$28:$E$51),2,0),VLOOKUP($C10&amp;$D10&amp;$E10,IF({1,0},基础数据!$B$28:$B$51&amp;基础数据!$C$28:$C$51&amp;基础数据!$D$28:$D$51,基础数据!$F$28:$F$51),2,0))*IF($C10="石油炼制",IF($F10=0,1,$F10/($F10-$H10)),1)</f>
        <v>4.4699999999999997E-2</v>
      </c>
      <c r="R10" s="155"/>
      <c r="S10" s="154" t="e">
        <f t="array" ref="S10">VLOOKUP($C10&amp;$D10&amp;$E10,IF({1,0},基础数据!$B$54:$B$79&amp;基础数据!$C$54:$C$79&amp;基础数据!$D$54:$D$79,基础数据!$E$54:$E$79),2,0)*IF($C10="石油炼制",IF($F10=0,1,$F10/($F10-$H10)),1)</f>
        <v>#N/A</v>
      </c>
      <c r="T10" s="154">
        <v>7</v>
      </c>
      <c r="U10" s="155">
        <f t="shared" si="0"/>
        <v>0.31289999999999996</v>
      </c>
      <c r="V10" s="156">
        <f t="shared" si="9"/>
        <v>2686.1499999999942</v>
      </c>
      <c r="W10" s="156">
        <f t="shared" si="10"/>
        <v>840.49633499999811</v>
      </c>
      <c r="X10" s="157" t="s">
        <v>140</v>
      </c>
      <c r="Y10" s="157" t="str">
        <f>VLOOKUP($X10,基础数据!$O$6:$P$9,2,0)</f>
        <v>三级</v>
      </c>
      <c r="Z10" s="158">
        <v>42180.444444444445</v>
      </c>
      <c r="AA10" s="150">
        <v>62</v>
      </c>
      <c r="AB10" s="150">
        <f t="array" ref="AB10">VLOOKUP($C10&amp;$D10,IF({1,0},基础数据!$B$3:$B$22&amp;基础数据!$C$3:$C$22,基础数据!$E$3:$E$22),2,0)</f>
        <v>3.9999999999999998E-6</v>
      </c>
      <c r="AC10" s="150">
        <f t="array" ref="AC10">VLOOKUP($C10&amp;$D10,IF({1,0},基础数据!$B$3:$B$22&amp;基础数据!$C$3:$C$22,基础数据!$G$3:$G$22),2,0)</f>
        <v>0.11</v>
      </c>
      <c r="AD10" s="159">
        <f t="array" ref="AD10">VLOOKUP($C10&amp;$D10,IF({1,0},基础数据!$B$3:$B$22&amp;基础数据!$C$3:$C$22,基础数据!$H$3:$H$22),2,0)*AA10^VLOOKUP($C10&amp;$D10,IF({1,0},基础数据!$B$3:$B$22&amp;基础数据!$C$3:$C$22,基础数据!$I$3:$I$22),2,0)</f>
        <v>1.5461713207936571E-4</v>
      </c>
      <c r="AE10" s="150">
        <f t="array" ref="AE10">IF(AA10&lt;10000,VLOOKUP($C10&amp;$D10&amp;$E10,IF({1,0},基础数据!$B$28:$B$51&amp;基础数据!$C$28:$C$51&amp;基础数据!$D$28:$D$51,基础数据!$E$28:$E$51),2,0),VLOOKUP($C10&amp;$D10&amp;$E10,IF({1,0},基础数据!$B$28:$B$51&amp;基础数据!$C$28:$C$51&amp;基础数据!$D$28:$D$51,基础数据!$F$28:$F$51),2,0))*IF($C10="石油炼制",IF($F10=0,1,$F10/($F10-$H10)),1)</f>
        <v>4.4699999999999997E-2</v>
      </c>
      <c r="AF10" s="159"/>
      <c r="AG10" s="150" t="e">
        <f t="array" ref="AG10">VLOOKUP($C10&amp;$D10&amp;$E10,IF({1,0},基础数据!$B$54:$B$79&amp;基础数据!$C$54:$C$79&amp;基础数据!$D$54:$D$79,基础数据!$E$54:$E$79),2,0)*IF($C10="石油炼制",IF($F10=0,1,$F10/($F10-$H10)),1)</f>
        <v>#N/A</v>
      </c>
      <c r="AH10" s="150">
        <v>7</v>
      </c>
      <c r="AI10" s="159">
        <f t="shared" si="1"/>
        <v>0.31289999999999996</v>
      </c>
      <c r="AJ10" s="160">
        <f t="shared" si="2"/>
        <v>2304.4999993055826</v>
      </c>
      <c r="AK10" s="160">
        <f t="shared" si="11"/>
        <v>721.07804978271668</v>
      </c>
      <c r="AL10" s="161" t="s">
        <v>140</v>
      </c>
      <c r="AM10" s="161" t="str">
        <f>VLOOKUP($AL10,基础数据!$O$6:$P$9,2,0)</f>
        <v>三级</v>
      </c>
      <c r="AN10" s="162">
        <v>42259.385416608799</v>
      </c>
      <c r="AO10" s="163">
        <v>62</v>
      </c>
      <c r="AP10" s="163">
        <f t="array" ref="AP10">VLOOKUP($C10&amp;$D10,IF({1,0},基础数据!$B$3:$B$22&amp;基础数据!$C$3:$C$22,基础数据!$E$3:$E$22),2,0)</f>
        <v>3.9999999999999998E-6</v>
      </c>
      <c r="AQ10" s="163">
        <f t="array" ref="AQ10">VLOOKUP($C10&amp;$D10,IF({1,0},基础数据!$B$3:$B$22&amp;基础数据!$C$3:$C$22,基础数据!$G$3:$G$22),2,0)</f>
        <v>0.11</v>
      </c>
      <c r="AR10" s="164">
        <f t="array" ref="AR10">VLOOKUP($C10&amp;$D10,IF({1,0},基础数据!$B$3:$B$22&amp;基础数据!$C$3:$C$22,基础数据!$H$3:$H$22),2,0)*AO10^VLOOKUP($C10&amp;$D10,IF({1,0},基础数据!$B$3:$B$22&amp;基础数据!$C$3:$C$22,基础数据!$I$3:$I$22),2,0)</f>
        <v>1.5461713207936571E-4</v>
      </c>
      <c r="AS10" s="163">
        <f t="array" ref="AS10">IF(AO10&lt;10000,VLOOKUP($C10&amp;$D10&amp;$E10,IF({1,0},基础数据!$B$28:$B$51&amp;基础数据!$C$28:$C$51&amp;基础数据!$D$28:$D$51,基础数据!$E$28:$E$51),2,0),VLOOKUP($C10&amp;$D10&amp;$E10,IF({1,0},基础数据!$B$28:$B$51&amp;基础数据!$C$28:$C$51&amp;基础数据!$D$28:$D$51,基础数据!$F$28:$F$51),2,0))*IF($C10="石油炼制",IF($F10=0,1,$F10/($F10-$H10)),1)</f>
        <v>4.4699999999999997E-2</v>
      </c>
      <c r="AT10" s="164"/>
      <c r="AU10" s="163" t="e">
        <f t="array" ref="AU10">VLOOKUP($C10&amp;$D10&amp;$E10,IF({1,0},基础数据!$B$54:$B$79&amp;基础数据!$C$54:$C$79&amp;基础数据!$D$54:$D$79,基础数据!$E$54:$E$79),2,0)*IF($C10="石油炼制",IF($F10=0,1,$F10/($F10-$H10)),1)</f>
        <v>#N/A</v>
      </c>
      <c r="AV10" s="163">
        <v>7</v>
      </c>
      <c r="AW10" s="164">
        <f t="shared" si="3"/>
        <v>0.31289999999999996</v>
      </c>
      <c r="AX10" s="165">
        <f t="shared" si="4"/>
        <v>1813.9666659722279</v>
      </c>
      <c r="AY10" s="165">
        <f t="shared" si="12"/>
        <v>567.59016978271006</v>
      </c>
      <c r="AZ10" s="166" t="s">
        <v>134</v>
      </c>
      <c r="BA10" s="166" t="str">
        <f>VLOOKUP($AZ10,基础数据!$O$6:$P$9,2,0)</f>
        <v>二级</v>
      </c>
      <c r="BB10" s="167">
        <v>42331.608333275464</v>
      </c>
      <c r="BC10" s="168">
        <v>62</v>
      </c>
      <c r="BD10" s="168">
        <f t="array" ref="BD10">VLOOKUP($C10&amp;$D10,IF({1,0},基础数据!$B$3:$B$22&amp;基础数据!$C$3:$C$22,基础数据!$E$3:$E$22),2,0)</f>
        <v>3.9999999999999998E-6</v>
      </c>
      <c r="BE10" s="168">
        <f t="array" ref="BE10">VLOOKUP($C10&amp;$D10,IF({1,0},基础数据!$B$3:$B$22&amp;基础数据!$C$3:$C$22,基础数据!$G$3:$G$22),2,0)</f>
        <v>0.11</v>
      </c>
      <c r="BF10" s="169">
        <f t="array" ref="BF10">VLOOKUP($C10&amp;$D10,IF({1,0},基础数据!$B$3:$B$22&amp;基础数据!$C$3:$C$22,基础数据!$H$3:$H$22),2,0)*BC10^VLOOKUP($C10&amp;$D10,IF({1,0},基础数据!$B$3:$B$22&amp;基础数据!$C$3:$C$22,基础数据!$I$3:$I$22),2,0)</f>
        <v>1.5461713207936571E-4</v>
      </c>
      <c r="BG10" s="168">
        <f t="array" ref="BG10">IF(BC10&lt;10000,VLOOKUP($C10&amp;$D10&amp;$E10,IF({1,0},基础数据!$B$28:$B$51&amp;基础数据!$C$28:$C$51&amp;基础数据!$D$28:$D$51,基础数据!$E$28:$E$51),2,0),VLOOKUP($C10&amp;$D10&amp;$E10,IF({1,0},基础数据!$B$28:$B$51&amp;基础数据!$C$28:$C$51&amp;基础数据!$D$28:$D$51,基础数据!$F$28:$F$51),2,0))*IF($C10="石油炼制",IF($F10=0,1,$F10/($F10-$H10)),1)</f>
        <v>4.4699999999999997E-2</v>
      </c>
      <c r="BH10" s="169"/>
      <c r="BI10" s="168" t="e">
        <f t="array" ref="BI10">VLOOKUP($C10&amp;$D10&amp;$E10,IF({1,0},基础数据!$B$54:$B$79&amp;基础数据!$C$54:$C$79&amp;基础数据!$D$54:$D$79,基础数据!$E$54:$E$79),2,0)*IF($C10="石油炼制",IF($F10=0,1,$F10/($F10-$H10)),1)</f>
        <v>#N/A</v>
      </c>
      <c r="BJ10" s="168">
        <v>7</v>
      </c>
      <c r="BK10" s="169">
        <f t="shared" si="5"/>
        <v>1.0823199245555599E-3</v>
      </c>
      <c r="BL10" s="170">
        <f t="shared" si="6"/>
        <v>1862.2749999999942</v>
      </c>
      <c r="BM10" s="170">
        <f t="shared" si="7"/>
        <v>2.015577337501699</v>
      </c>
      <c r="BN10" s="151">
        <v>42414.574999942131</v>
      </c>
      <c r="BO10" s="159">
        <f t="shared" si="8"/>
        <v>2131.1801319029264</v>
      </c>
    </row>
    <row r="11" spans="1:67">
      <c r="A11" s="171">
        <v>8</v>
      </c>
      <c r="B11" s="172"/>
      <c r="C11" s="172" t="s">
        <v>121</v>
      </c>
      <c r="D11" s="172" t="s">
        <v>190</v>
      </c>
      <c r="E11" s="172" t="s">
        <v>251</v>
      </c>
      <c r="F11" s="150"/>
      <c r="G11" s="150"/>
      <c r="H11" s="150"/>
      <c r="I11" s="151">
        <v>41956.598611111112</v>
      </c>
      <c r="J11" s="152" t="s">
        <v>135</v>
      </c>
      <c r="K11" s="152" t="str">
        <f>VLOOKUP($J11,基础数据!$O$6:$P$9,2,0)</f>
        <v>四级</v>
      </c>
      <c r="L11" s="153">
        <v>42067.34375</v>
      </c>
      <c r="M11" s="154">
        <v>63</v>
      </c>
      <c r="N11" s="154">
        <f t="array" ref="N11">VLOOKUP($C11&amp;$D11,IF({1,0},基础数据!$B$3:$B$22&amp;基础数据!$C$3:$C$22,基础数据!$E$3:$E$22),2,0)</f>
        <v>1.9999999999999999E-6</v>
      </c>
      <c r="O11" s="154">
        <f t="array" ref="O11">VLOOKUP($C11&amp;$D11,IF({1,0},基础数据!$B$3:$B$22&amp;基础数据!$C$3:$C$22,基础数据!$G$3:$G$22),2,0)</f>
        <v>7.9000000000000001E-2</v>
      </c>
      <c r="P11" s="155">
        <f t="array" ref="P11">VLOOKUP($C11&amp;$D11,IF({1,0},基础数据!$B$3:$B$22&amp;基础数据!$C$3:$C$22,基础数据!$H$3:$H$22),2,0)*M11^VLOOKUP($C11&amp;$D11,IF({1,0},基础数据!$B$3:$B$22&amp;基础数据!$C$3:$C$22,基础数据!$I$3:$I$22),2,0)</f>
        <v>4.0659162394074755E-5</v>
      </c>
      <c r="Q11" s="154">
        <f t="array" ref="Q11">IF(M11&lt;10000,VLOOKUP($C11&amp;$D11&amp;$E11,IF({1,0},基础数据!$B$28:$B$51&amp;基础数据!$C$28:$C$51&amp;基础数据!$D$28:$D$51,基础数据!$E$28:$E$51),2,0),VLOOKUP($C11&amp;$D11&amp;$E11,IF({1,0},基础数据!$B$28:$B$51&amp;基础数据!$C$28:$C$51&amp;基础数据!$D$28:$D$51,基础数据!$F$28:$F$51),2,0))*IF($C11="石油炼制",IF($F11=0,1,$F11/($F11-$H11)),1)</f>
        <v>1.5E-3</v>
      </c>
      <c r="R11" s="155"/>
      <c r="S11" s="154">
        <f t="array" ref="S11">VLOOKUP($C11&amp;$D11&amp;$E11,IF({1,0},基础数据!$B$54:$B$79&amp;基础数据!$C$54:$C$79&amp;基础数据!$D$54:$D$79,基础数据!$E$54:$E$79),2,0)*IF($C11="石油炼制",IF($F11=0,1,$F11/($F11-$H11)),1)</f>
        <v>1.6999999999999999E-3</v>
      </c>
      <c r="T11" s="154">
        <v>8</v>
      </c>
      <c r="U11" s="155">
        <f t="shared" si="0"/>
        <v>1.3599999999999999E-2</v>
      </c>
      <c r="V11" s="156">
        <f t="shared" si="9"/>
        <v>2698.1499999999942</v>
      </c>
      <c r="W11" s="156">
        <f t="shared" si="10"/>
        <v>36.694839999999921</v>
      </c>
      <c r="X11" s="157" t="s">
        <v>135</v>
      </c>
      <c r="Y11" s="157" t="str">
        <f>VLOOKUP($X11,基础数据!$O$6:$P$9,2,0)</f>
        <v>四级</v>
      </c>
      <c r="Z11" s="158">
        <v>42181.444444444445</v>
      </c>
      <c r="AA11" s="150">
        <v>63</v>
      </c>
      <c r="AB11" s="150">
        <f t="array" ref="AB11">VLOOKUP($C11&amp;$D11,IF({1,0},基础数据!$B$3:$B$22&amp;基础数据!$C$3:$C$22,基础数据!$E$3:$E$22),2,0)</f>
        <v>1.9999999999999999E-6</v>
      </c>
      <c r="AC11" s="150">
        <f t="array" ref="AC11">VLOOKUP($C11&amp;$D11,IF({1,0},基础数据!$B$3:$B$22&amp;基础数据!$C$3:$C$22,基础数据!$G$3:$G$22),2,0)</f>
        <v>7.9000000000000001E-2</v>
      </c>
      <c r="AD11" s="159">
        <f t="array" ref="AD11">VLOOKUP($C11&amp;$D11,IF({1,0},基础数据!$B$3:$B$22&amp;基础数据!$C$3:$C$22,基础数据!$H$3:$H$22),2,0)*AA11^VLOOKUP($C11&amp;$D11,IF({1,0},基础数据!$B$3:$B$22&amp;基础数据!$C$3:$C$22,基础数据!$I$3:$I$22),2,0)</f>
        <v>4.0659162394074755E-5</v>
      </c>
      <c r="AE11" s="150">
        <f t="array" ref="AE11">IF(AA11&lt;10000,VLOOKUP($C11&amp;$D11&amp;$E11,IF({1,0},基础数据!$B$28:$B$51&amp;基础数据!$C$28:$C$51&amp;基础数据!$D$28:$D$51,基础数据!$E$28:$E$51),2,0),VLOOKUP($C11&amp;$D11&amp;$E11,IF({1,0},基础数据!$B$28:$B$51&amp;基础数据!$C$28:$C$51&amp;基础数据!$D$28:$D$51,基础数据!$F$28:$F$51),2,0))*IF($C11="石油炼制",IF($F11=0,1,$F11/($F11-$H11)),1)</f>
        <v>1.5E-3</v>
      </c>
      <c r="AF11" s="159"/>
      <c r="AG11" s="150">
        <f t="array" ref="AG11">VLOOKUP($C11&amp;$D11&amp;$E11,IF({1,0},基础数据!$B$54:$B$79&amp;基础数据!$C$54:$C$79&amp;基础数据!$D$54:$D$79,基础数据!$E$54:$E$79),2,0)*IF($C11="石油炼制",IF($F11=0,1,$F11/($F11-$H11)),1)</f>
        <v>1.6999999999999999E-3</v>
      </c>
      <c r="AH11" s="150">
        <v>8</v>
      </c>
      <c r="AI11" s="159">
        <f t="shared" si="1"/>
        <v>1.3599999999999999E-2</v>
      </c>
      <c r="AJ11" s="160">
        <f t="shared" si="2"/>
        <v>2316.4999993055826</v>
      </c>
      <c r="AK11" s="160">
        <f t="shared" si="11"/>
        <v>31.504399990555921</v>
      </c>
      <c r="AL11" s="161" t="s">
        <v>134</v>
      </c>
      <c r="AM11" s="161" t="str">
        <f>VLOOKUP($AL11,基础数据!$O$6:$P$9,2,0)</f>
        <v>二级</v>
      </c>
      <c r="AN11" s="162">
        <v>42260.385416608799</v>
      </c>
      <c r="AO11" s="163">
        <v>63</v>
      </c>
      <c r="AP11" s="163">
        <f t="array" ref="AP11">VLOOKUP($C11&amp;$D11,IF({1,0},基础数据!$B$3:$B$22&amp;基础数据!$C$3:$C$22,基础数据!$E$3:$E$22),2,0)</f>
        <v>1.9999999999999999E-6</v>
      </c>
      <c r="AQ11" s="163">
        <f t="array" ref="AQ11">VLOOKUP($C11&amp;$D11,IF({1,0},基础数据!$B$3:$B$22&amp;基础数据!$C$3:$C$22,基础数据!$G$3:$G$22),2,0)</f>
        <v>7.9000000000000001E-2</v>
      </c>
      <c r="AR11" s="164">
        <f t="array" ref="AR11">VLOOKUP($C11&amp;$D11,IF({1,0},基础数据!$B$3:$B$22&amp;基础数据!$C$3:$C$22,基础数据!$H$3:$H$22),2,0)*AO11^VLOOKUP($C11&amp;$D11,IF({1,0},基础数据!$B$3:$B$22&amp;基础数据!$C$3:$C$22,基础数据!$I$3:$I$22),2,0)</f>
        <v>4.0659162394074755E-5</v>
      </c>
      <c r="AS11" s="163">
        <f t="array" ref="AS11">IF(AO11&lt;10000,VLOOKUP($C11&amp;$D11&amp;$E11,IF({1,0},基础数据!$B$28:$B$51&amp;基础数据!$C$28:$C$51&amp;基础数据!$D$28:$D$51,基础数据!$E$28:$E$51),2,0),VLOOKUP($C11&amp;$D11&amp;$E11,IF({1,0},基础数据!$B$28:$B$51&amp;基础数据!$C$28:$C$51&amp;基础数据!$D$28:$D$51,基础数据!$F$28:$F$51),2,0))*IF($C11="石油炼制",IF($F11=0,1,$F11/($F11-$H11)),1)</f>
        <v>1.5E-3</v>
      </c>
      <c r="AT11" s="164"/>
      <c r="AU11" s="163">
        <f t="array" ref="AU11">VLOOKUP($C11&amp;$D11&amp;$E11,IF({1,0},基础数据!$B$54:$B$79&amp;基础数据!$C$54:$C$79&amp;基础数据!$D$54:$D$79,基础数据!$E$54:$E$79),2,0)*IF($C11="石油炼制",IF($F11=0,1,$F11/($F11-$H11)),1)</f>
        <v>1.6999999999999999E-3</v>
      </c>
      <c r="AV11" s="163">
        <v>8</v>
      </c>
      <c r="AW11" s="164">
        <f t="shared" si="3"/>
        <v>3.2527329915259804E-4</v>
      </c>
      <c r="AX11" s="165">
        <f t="shared" si="4"/>
        <v>1813.9666659722279</v>
      </c>
      <c r="AY11" s="165">
        <f t="shared" si="12"/>
        <v>0.59003492199362539</v>
      </c>
      <c r="AZ11" s="166" t="s">
        <v>135</v>
      </c>
      <c r="BA11" s="166" t="str">
        <f>VLOOKUP($AZ11,基础数据!$O$6:$P$9,2,0)</f>
        <v>四级</v>
      </c>
      <c r="BB11" s="167">
        <v>42332.608333275464</v>
      </c>
      <c r="BC11" s="168">
        <v>63</v>
      </c>
      <c r="BD11" s="168">
        <f t="array" ref="BD11">VLOOKUP($C11&amp;$D11,IF({1,0},基础数据!$B$3:$B$22&amp;基础数据!$C$3:$C$22,基础数据!$E$3:$E$22),2,0)</f>
        <v>1.9999999999999999E-6</v>
      </c>
      <c r="BE11" s="168">
        <f t="array" ref="BE11">VLOOKUP($C11&amp;$D11,IF({1,0},基础数据!$B$3:$B$22&amp;基础数据!$C$3:$C$22,基础数据!$G$3:$G$22),2,0)</f>
        <v>7.9000000000000001E-2</v>
      </c>
      <c r="BF11" s="169">
        <f t="array" ref="BF11">VLOOKUP($C11&amp;$D11,IF({1,0},基础数据!$B$3:$B$22&amp;基础数据!$C$3:$C$22,基础数据!$H$3:$H$22),2,0)*BC11^VLOOKUP($C11&amp;$D11,IF({1,0},基础数据!$B$3:$B$22&amp;基础数据!$C$3:$C$22,基础数据!$I$3:$I$22),2,0)</f>
        <v>4.0659162394074755E-5</v>
      </c>
      <c r="BG11" s="168">
        <f t="array" ref="BG11">IF(BC11&lt;10000,VLOOKUP($C11&amp;$D11&amp;$E11,IF({1,0},基础数据!$B$28:$B$51&amp;基础数据!$C$28:$C$51&amp;基础数据!$D$28:$D$51,基础数据!$E$28:$E$51),2,0),VLOOKUP($C11&amp;$D11&amp;$E11,IF({1,0},基础数据!$B$28:$B$51&amp;基础数据!$C$28:$C$51&amp;基础数据!$D$28:$D$51,基础数据!$F$28:$F$51),2,0))*IF($C11="石油炼制",IF($F11=0,1,$F11/($F11-$H11)),1)</f>
        <v>1.5E-3</v>
      </c>
      <c r="BH11" s="169"/>
      <c r="BI11" s="168">
        <f t="array" ref="BI11">VLOOKUP($C11&amp;$D11&amp;$E11,IF({1,0},基础数据!$B$54:$B$79&amp;基础数据!$C$54:$C$79&amp;基础数据!$D$54:$D$79,基础数据!$E$54:$E$79),2,0)*IF($C11="石油炼制",IF($F11=0,1,$F11/($F11-$H11)),1)</f>
        <v>1.6999999999999999E-3</v>
      </c>
      <c r="BJ11" s="168">
        <v>8</v>
      </c>
      <c r="BK11" s="169">
        <f t="shared" si="5"/>
        <v>1.3599999999999999E-2</v>
      </c>
      <c r="BL11" s="170">
        <f t="shared" si="6"/>
        <v>1862.2749999999942</v>
      </c>
      <c r="BM11" s="170">
        <f t="shared" si="7"/>
        <v>25.326939999999919</v>
      </c>
      <c r="BN11" s="151">
        <v>42415.574999942131</v>
      </c>
      <c r="BO11" s="159">
        <f t="shared" si="8"/>
        <v>94.116214912549395</v>
      </c>
    </row>
    <row r="12" spans="1:67" ht="14.25" thickBot="1">
      <c r="A12" s="173">
        <v>9</v>
      </c>
      <c r="B12" s="174"/>
      <c r="C12" s="174" t="s">
        <v>118</v>
      </c>
      <c r="D12" s="174" t="s">
        <v>213</v>
      </c>
      <c r="E12" s="174" t="s">
        <v>33</v>
      </c>
      <c r="F12" s="174"/>
      <c r="G12" s="174"/>
      <c r="H12" s="174"/>
      <c r="I12" s="175">
        <v>41956.598611111112</v>
      </c>
      <c r="J12" s="176" t="s">
        <v>212</v>
      </c>
      <c r="K12" s="176" t="str">
        <f>VLOOKUP($J12,基础数据!$O$6:$P$9,2,0)</f>
        <v>实测</v>
      </c>
      <c r="L12" s="177">
        <v>42067.34375</v>
      </c>
      <c r="M12" s="178">
        <v>64</v>
      </c>
      <c r="N12" s="178">
        <f t="array" ref="N12">VLOOKUP($C12&amp;$D12,IF({1,0},基础数据!$B$3:$B$22&amp;基础数据!$C$3:$C$22,基础数据!$E$3:$E$22),2,0)</f>
        <v>3.9999999999999998E-6</v>
      </c>
      <c r="O12" s="178">
        <f t="array" ref="O12">VLOOKUP($C12&amp;$D12,IF({1,0},基础数据!$B$3:$B$22&amp;基础数据!$C$3:$C$22,基础数据!$G$3:$G$22),2,0)</f>
        <v>0.11</v>
      </c>
      <c r="P12" s="179">
        <f t="array" ref="P12">VLOOKUP($C12&amp;$D12,IF({1,0},基础数据!$B$3:$B$22&amp;基础数据!$C$3:$C$22,基础数据!$H$3:$H$22),2,0)*M12^VLOOKUP($C12&amp;$D12,IF({1,0},基础数据!$B$3:$B$22&amp;基础数据!$C$3:$C$22,基础数据!$I$3:$I$22),2,0)</f>
        <v>1.5753567315489596E-4</v>
      </c>
      <c r="Q12" s="178" t="e">
        <f t="array" ref="Q12">IF(M12&lt;10000,VLOOKUP($C12&amp;$D12&amp;$E12,IF({1,0},基础数据!$B$28:$B$51&amp;基础数据!$C$28:$C$51&amp;基础数据!$D$28:$D$51,基础数据!$E$28:$E$51),2,0),VLOOKUP($C12&amp;$D12&amp;$E12,IF({1,0},基础数据!$B$28:$B$51&amp;基础数据!$C$28:$C$51&amp;基础数据!$D$28:$D$51,基础数据!$F$28:$F$51),2,0))*IF($C12="石油炼制",IF($F12=0,1,$F12/($F12-$H12)),1)</f>
        <v>#N/A</v>
      </c>
      <c r="R12" s="179"/>
      <c r="S12" s="178" t="e">
        <f t="array" ref="S12">VLOOKUP($C12&amp;$D12&amp;$E12,IF({1,0},基础数据!$B$54:$B$79&amp;基础数据!$C$54:$C$79&amp;基础数据!$D$54:$D$79,基础数据!$E$54:$E$79),2,0)*IF($C12="石油炼制",IF($F12=0,1,$F12/($F12-$H12)),1)</f>
        <v>#N/A</v>
      </c>
      <c r="T12" s="178">
        <v>9</v>
      </c>
      <c r="U12" s="179">
        <f t="shared" si="0"/>
        <v>0</v>
      </c>
      <c r="V12" s="180">
        <f t="shared" si="9"/>
        <v>2710.1499999999942</v>
      </c>
      <c r="W12" s="156">
        <f t="shared" si="10"/>
        <v>0</v>
      </c>
      <c r="X12" s="181" t="s">
        <v>212</v>
      </c>
      <c r="Y12" s="182" t="str">
        <f>VLOOKUP($X12,基础数据!$O$6:$P$9,2,0)</f>
        <v>实测</v>
      </c>
      <c r="Z12" s="183">
        <v>42182.444444444445</v>
      </c>
      <c r="AA12" s="184">
        <v>64</v>
      </c>
      <c r="AB12" s="184">
        <f t="array" ref="AB12">VLOOKUP($C12&amp;$D12,IF({1,0},基础数据!$B$3:$B$22&amp;基础数据!$C$3:$C$22,基础数据!$E$3:$E$22),2,0)</f>
        <v>3.9999999999999998E-6</v>
      </c>
      <c r="AC12" s="184">
        <f t="array" ref="AC12">VLOOKUP($C12&amp;$D12,IF({1,0},基础数据!$B$3:$B$22&amp;基础数据!$C$3:$C$22,基础数据!$G$3:$G$22),2,0)</f>
        <v>0.11</v>
      </c>
      <c r="AD12" s="125">
        <f t="array" ref="AD12">VLOOKUP($C12&amp;$D12,IF({1,0},基础数据!$B$3:$B$22&amp;基础数据!$C$3:$C$22,基础数据!$H$3:$H$22),2,0)*AA12^VLOOKUP($C12&amp;$D12,IF({1,0},基础数据!$B$3:$B$22&amp;基础数据!$C$3:$C$22,基础数据!$I$3:$I$22),2,0)</f>
        <v>1.5753567315489596E-4</v>
      </c>
      <c r="AE12" s="184" t="e">
        <f t="array" ref="AE12">IF(AA12&lt;10000,VLOOKUP($C12&amp;$D12&amp;$E12,IF({1,0},基础数据!$B$28:$B$51&amp;基础数据!$C$28:$C$51&amp;基础数据!$D$28:$D$51,基础数据!$E$28:$E$51),2,0),VLOOKUP($C12&amp;$D12&amp;$E12,IF({1,0},基础数据!$B$28:$B$51&amp;基础数据!$C$28:$C$51&amp;基础数据!$D$28:$D$51,基础数据!$F$28:$F$51),2,0))*IF($C12="石油炼制",IF($F12=0,1,$F12/($F12-$H12)),1)</f>
        <v>#N/A</v>
      </c>
      <c r="AF12" s="125"/>
      <c r="AG12" s="184" t="e">
        <f t="array" ref="AG12">VLOOKUP($C12&amp;$D12&amp;$E12,IF({1,0},基础数据!$B$54:$B$79&amp;基础数据!$C$54:$C$79&amp;基础数据!$D$54:$D$79,基础数据!$E$54:$E$79),2,0)*IF($C12="石油炼制",IF($F12=0,1,$F12/($F12-$H12)),1)</f>
        <v>#N/A</v>
      </c>
      <c r="AH12" s="184">
        <v>9</v>
      </c>
      <c r="AI12" s="125">
        <f t="shared" si="1"/>
        <v>0</v>
      </c>
      <c r="AJ12" s="185">
        <f t="shared" si="2"/>
        <v>2328.4999993055826</v>
      </c>
      <c r="AK12" s="160">
        <f t="shared" si="11"/>
        <v>0</v>
      </c>
      <c r="AL12" s="186" t="s">
        <v>134</v>
      </c>
      <c r="AM12" s="186" t="str">
        <f>VLOOKUP($AL12,基础数据!$O$6:$P$9,2,0)</f>
        <v>二级</v>
      </c>
      <c r="AN12" s="187">
        <v>42261.385416608799</v>
      </c>
      <c r="AO12" s="188">
        <v>64</v>
      </c>
      <c r="AP12" s="188">
        <f t="array" ref="AP12">VLOOKUP($C12&amp;$D12,IF({1,0},基础数据!$B$3:$B$22&amp;基础数据!$C$3:$C$22,基础数据!$E$3:$E$22),2,0)</f>
        <v>3.9999999999999998E-6</v>
      </c>
      <c r="AQ12" s="188">
        <f t="array" ref="AQ12">VLOOKUP($C12&amp;$D12,IF({1,0},基础数据!$B$3:$B$22&amp;基础数据!$C$3:$C$22,基础数据!$G$3:$G$22),2,0)</f>
        <v>0.11</v>
      </c>
      <c r="AR12" s="189">
        <f t="array" ref="AR12">VLOOKUP($C12&amp;$D12,IF({1,0},基础数据!$B$3:$B$22&amp;基础数据!$C$3:$C$22,基础数据!$H$3:$H$22),2,0)*AO12^VLOOKUP($C12&amp;$D12,IF({1,0},基础数据!$B$3:$B$22&amp;基础数据!$C$3:$C$22,基础数据!$I$3:$I$22),2,0)</f>
        <v>1.5753567315489596E-4</v>
      </c>
      <c r="AS12" s="188" t="e">
        <f t="array" ref="AS12">IF(AO12&lt;10000,VLOOKUP($C12&amp;$D12&amp;$E12,IF({1,0},基础数据!$B$28:$B$51&amp;基础数据!$C$28:$C$51&amp;基础数据!$D$28:$D$51,基础数据!$E$28:$E$51),2,0),VLOOKUP($C12&amp;$D12&amp;$E12,IF({1,0},基础数据!$B$28:$B$51&amp;基础数据!$C$28:$C$51&amp;基础数据!$D$28:$D$51,基础数据!$F$28:$F$51),2,0))*IF($C12="石油炼制",IF($F12=0,1,$F12/($F12-$H12)),1)</f>
        <v>#N/A</v>
      </c>
      <c r="AT12" s="189"/>
      <c r="AU12" s="188" t="e">
        <f t="array" ref="AU12">VLOOKUP($C12&amp;$D12&amp;$E12,IF({1,0},基础数据!$B$54:$B$79&amp;基础数据!$C$54:$C$79&amp;基础数据!$D$54:$D$79,基础数据!$E$54:$E$79),2,0)*IF($C12="石油炼制",IF($F12=0,1,$F12/($F12-$H12)),1)</f>
        <v>#N/A</v>
      </c>
      <c r="AV12" s="188">
        <v>9</v>
      </c>
      <c r="AW12" s="189">
        <f t="shared" si="3"/>
        <v>1.4178210583940636E-3</v>
      </c>
      <c r="AX12" s="190">
        <f t="shared" si="4"/>
        <v>1813.9666659722279</v>
      </c>
      <c r="AY12" s="165">
        <f t="shared" si="12"/>
        <v>2.5718801382402949</v>
      </c>
      <c r="AZ12" s="191" t="s">
        <v>134</v>
      </c>
      <c r="BA12" s="191" t="str">
        <f>VLOOKUP($AZ12,基础数据!$O$6:$P$9,2,0)</f>
        <v>二级</v>
      </c>
      <c r="BB12" s="192">
        <v>42333.608333275464</v>
      </c>
      <c r="BC12" s="193">
        <v>64</v>
      </c>
      <c r="BD12" s="193">
        <f t="array" ref="BD12">VLOOKUP($C12&amp;$D12,IF({1,0},基础数据!$B$3:$B$22&amp;基础数据!$C$3:$C$22,基础数据!$E$3:$E$22),2,0)</f>
        <v>3.9999999999999998E-6</v>
      </c>
      <c r="BE12" s="193">
        <f t="array" ref="BE12">VLOOKUP($C12&amp;$D12,IF({1,0},基础数据!$B$3:$B$22&amp;基础数据!$C$3:$C$22,基础数据!$G$3:$G$22),2,0)</f>
        <v>0.11</v>
      </c>
      <c r="BF12" s="194">
        <f t="array" ref="BF12">VLOOKUP($C12&amp;$D12,IF({1,0},基础数据!$B$3:$B$22&amp;基础数据!$C$3:$C$22,基础数据!$H$3:$H$22),2,0)*BC12^VLOOKUP($C12&amp;$D12,IF({1,0},基础数据!$B$3:$B$22&amp;基础数据!$C$3:$C$22,基础数据!$I$3:$I$22),2,0)</f>
        <v>1.5753567315489596E-4</v>
      </c>
      <c r="BG12" s="193" t="e">
        <f t="array" ref="BG12">IF(BC12&lt;10000,VLOOKUP($C12&amp;$D12&amp;$E12,IF({1,0},基础数据!$B$28:$B$51&amp;基础数据!$C$28:$C$51&amp;基础数据!$D$28:$D$51,基础数据!$E$28:$E$51),2,0),VLOOKUP($C12&amp;$D12&amp;$E12,IF({1,0},基础数据!$B$28:$B$51&amp;基础数据!$C$28:$C$51&amp;基础数据!$D$28:$D$51,基础数据!$F$28:$F$51),2,0))*IF($C12="石油炼制",IF($F12=0,1,$F12/($F12-$H12)),1)</f>
        <v>#N/A</v>
      </c>
      <c r="BH12" s="194"/>
      <c r="BI12" s="193" t="e">
        <f t="array" ref="BI12">VLOOKUP($C12&amp;$D12&amp;$E12,IF({1,0},基础数据!$B$54:$B$79&amp;基础数据!$C$54:$C$79&amp;基础数据!$D$54:$D$79,基础数据!$E$54:$E$79),2,0)*IF($C12="石油炼制",IF($F12=0,1,$F12/($F12-$H12)),1)</f>
        <v>#N/A</v>
      </c>
      <c r="BJ12" s="193">
        <v>9</v>
      </c>
      <c r="BK12" s="194">
        <f t="shared" si="5"/>
        <v>1.4178210583940636E-3</v>
      </c>
      <c r="BL12" s="195">
        <f t="shared" si="6"/>
        <v>1862.2749999999942</v>
      </c>
      <c r="BM12" s="170">
        <f t="shared" si="7"/>
        <v>2.6403727115207967</v>
      </c>
      <c r="BN12" s="175">
        <v>42416.574999942131</v>
      </c>
      <c r="BO12" s="125">
        <f t="shared" si="8"/>
        <v>5.2122528497610912</v>
      </c>
    </row>
    <row r="13" spans="1:67">
      <c r="A13" s="196" t="s">
        <v>138</v>
      </c>
      <c r="B13" s="197"/>
      <c r="C13" s="197"/>
      <c r="D13" s="197"/>
      <c r="E13" s="197"/>
      <c r="F13" s="197"/>
      <c r="G13" s="197"/>
      <c r="H13" s="197"/>
      <c r="I13" s="198"/>
      <c r="J13" s="199"/>
      <c r="K13" s="199"/>
      <c r="L13" s="200"/>
      <c r="M13" s="201"/>
      <c r="N13" s="201"/>
      <c r="O13" s="201"/>
      <c r="P13" s="201"/>
      <c r="Q13" s="201"/>
      <c r="R13" s="201"/>
      <c r="S13" s="201"/>
      <c r="T13" s="201"/>
      <c r="U13" s="201"/>
      <c r="V13" s="199"/>
      <c r="W13" s="202">
        <f>SUBTOTAL(109,表7[列23])</f>
        <v>911.85183622623083</v>
      </c>
      <c r="X13" s="203"/>
      <c r="Y13" s="203"/>
      <c r="Z13" s="198"/>
      <c r="AA13" s="197"/>
      <c r="AB13" s="197"/>
      <c r="AC13" s="197"/>
      <c r="AD13" s="197"/>
      <c r="AE13" s="197"/>
      <c r="AF13" s="197"/>
      <c r="AG13" s="197"/>
      <c r="AH13" s="197"/>
      <c r="AI13" s="197"/>
      <c r="AJ13" s="203"/>
      <c r="AK13" s="204">
        <f>SUBTOTAL(109,表7[列37])</f>
        <v>781.07348280855535</v>
      </c>
      <c r="AL13" s="205"/>
      <c r="AM13" s="205"/>
      <c r="AN13" s="206"/>
      <c r="AO13" s="207"/>
      <c r="AP13" s="207"/>
      <c r="AQ13" s="207"/>
      <c r="AR13" s="207"/>
      <c r="AS13" s="207"/>
      <c r="AT13" s="207"/>
      <c r="AU13" s="207"/>
      <c r="AV13" s="207"/>
      <c r="AW13" s="207"/>
      <c r="AX13" s="205"/>
      <c r="AY13" s="208">
        <f>SUBTOTAL(109,表7[列51])</f>
        <v>573.59819283865909</v>
      </c>
      <c r="AZ13" s="209"/>
      <c r="BA13" s="209"/>
      <c r="BB13" s="210"/>
      <c r="BC13" s="211"/>
      <c r="BD13" s="211"/>
      <c r="BE13" s="211"/>
      <c r="BF13" s="211"/>
      <c r="BG13" s="211"/>
      <c r="BH13" s="211"/>
      <c r="BI13" s="211"/>
      <c r="BJ13" s="211"/>
      <c r="BK13" s="211"/>
      <c r="BL13" s="209"/>
      <c r="BM13" s="212">
        <f>SUBTOTAL(109,表7[列65])</f>
        <v>32.460684286560792</v>
      </c>
      <c r="BN13" s="198"/>
      <c r="BO13" s="213">
        <f>SUBTOTAL(109,表7[列67])</f>
        <v>2298.9841961600059</v>
      </c>
    </row>
    <row r="15" spans="1:67">
      <c r="BO15" s="214"/>
    </row>
    <row r="16" spans="1:67">
      <c r="BO16" s="214"/>
    </row>
    <row r="17" spans="67:67">
      <c r="BO17" s="214"/>
    </row>
    <row r="18" spans="67:67">
      <c r="BO18" s="214"/>
    </row>
    <row r="19" spans="67:67">
      <c r="BO19" s="214"/>
    </row>
    <row r="20" spans="67:67">
      <c r="BO20" s="214"/>
    </row>
  </sheetData>
  <sheetProtection password="FADC" sheet="1" objects="1" scenarios="1" formatCells="0" formatRows="0" insertColumns="0" insertRows="0" deleteColumns="0" deleteRows="0" sort="0" autoFilter="0" pivotTables="0"/>
  <protectedRanges>
    <protectedRange sqref="AL2:AM2 X2:Y2 J2:K2 BP9:XFD10 BD9:BO12 AA9:AK12 AO9:BA12 M9:W12 BB9:BC12 AL9:AN12 X9:Z12 J9:L12 A9:I12 A2:I8 J3:L8 X3:Z8 AL3:AN8 BB3:BC8 M2:W8 AO2:BA8 AA2:AK8 BD2:BO8 BP1:XFD8" name="区域1"/>
  </protectedRanges>
  <dataConsolidate/>
  <phoneticPr fontId="1" type="noConversion"/>
  <dataValidations xWindow="321" yWindow="375" count="12">
    <dataValidation type="list" allowBlank="1" showInputMessage="1" showErrorMessage="1" sqref="D111:D1048576">
      <formula1>"阀门,泵,压缩机,安全阀,接头,开口管线,采样接口"</formula1>
    </dataValidation>
    <dataValidation type="list" allowBlank="1" showInputMessage="1" showErrorMessage="1" sqref="Y4:Y12 BA4:BA12 AM4:AM12 K4:K12">
      <formula1>"实测,二级,三级,四级"</formula1>
    </dataValidation>
    <dataValidation allowBlank="1" showInputMessage="1" showErrorMessage="1" prompt="如果为包袋法测量结果，请输入排放速率" sqref="BH4:BH12 R4:R12 AT4:AT12 AF4:AF12"/>
    <dataValidation allowBlank="1" showInputMessage="1" showErrorMessage="1" prompt="当服务介质为气体时需提供该项" sqref="H4:H12"/>
    <dataValidation type="list" allowBlank="1" showInputMessage="1" showErrorMessage="1" sqref="C4:C12">
      <formula1>"石油炼制,石油化工"</formula1>
    </dataValidation>
    <dataValidation type="list" allowBlank="1" showInputMessage="1" showErrorMessage="1" sqref="AL4:AL12 AZ4:AZ12 X4:X12 J4:J12">
      <formula1>核算方法</formula1>
    </dataValidation>
    <dataValidation type="whole" operator="greaterThan" allowBlank="1" showInputMessage="1" showErrorMessage="1" prompt="如核算方法为平均排放系数法或筛选范围法，可输入同类密封点个数" sqref="BJ4:BJ12 T4:T12 AV4:AV12 AH4:AH12">
      <formula1>0</formula1>
    </dataValidation>
    <dataValidation allowBlank="1" showInputMessage="1" showErrorMessage="1" prompt="计算排放速率" sqref="AI4:AI12 U4:U12 BK4:BK12 AW4:AW12"/>
    <dataValidation allowBlank="1" showInputMessage="1" showErrorMessage="1" prompt="相关方程法请输入净检测值" sqref="BC4:BC12 M4:M12 AO4:AO12 AA4:AA12"/>
    <dataValidation allowBlank="1" showInputMessage="1" showErrorMessage="1" prompt="年/月/日 时:分" sqref="BB4:BB12 I4:I12 L4:L12 AN4:AN12 Z4:Z12 BN4:BN12"/>
    <dataValidation type="list" allowBlank="1" showInputMessage="1" showErrorMessage="1" sqref="D4:D12">
      <formula1>IF($K4="二级",INDIRECT($K4&amp;$C4),IF($K4="三级",三级设备,四级设备))</formula1>
    </dataValidation>
    <dataValidation type="list" allowBlank="1" showInputMessage="1" showErrorMessage="1" sqref="E4:E12">
      <formula1>IF(K4="实测",INDIRECT(K4),IF(K4="二级",INDIRECT($K4&amp;$C4&amp;$D4),INDIRECT($K4&amp;$D4)))</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0"/>
  <sheetViews>
    <sheetView workbookViewId="0">
      <selection activeCell="J3" sqref="J3"/>
    </sheetView>
  </sheetViews>
  <sheetFormatPr defaultRowHeight="13.5"/>
  <cols>
    <col min="1" max="3" width="9" customWidth="1"/>
    <col min="4" max="4" width="15.5" customWidth="1"/>
    <col min="5" max="5" width="11.125" customWidth="1"/>
    <col min="6" max="6" width="11.5" customWidth="1"/>
    <col min="7" max="7" width="14.5" customWidth="1"/>
    <col min="8" max="8" width="13" customWidth="1"/>
    <col min="9" max="9" width="15" customWidth="1"/>
    <col min="10" max="12" width="18.5" customWidth="1"/>
    <col min="13" max="13" width="13.5" customWidth="1"/>
    <col min="14" max="20" width="20.5" customWidth="1"/>
    <col min="21" max="21" width="20.375" customWidth="1"/>
    <col min="22" max="22" width="16.375" customWidth="1"/>
  </cols>
  <sheetData>
    <row r="1" spans="1:22" ht="14.25" thickBot="1">
      <c r="A1" s="46" t="s">
        <v>7</v>
      </c>
      <c r="B1" s="46"/>
      <c r="C1" s="46"/>
      <c r="D1" s="46"/>
      <c r="E1" s="46"/>
      <c r="F1" s="46"/>
      <c r="G1" s="46"/>
      <c r="H1" s="46"/>
      <c r="I1" s="46"/>
      <c r="J1" s="46"/>
      <c r="K1" s="46"/>
      <c r="L1" s="46"/>
      <c r="M1" s="46"/>
      <c r="N1" s="46"/>
      <c r="O1" s="46"/>
      <c r="P1" s="46"/>
      <c r="Q1" s="46"/>
      <c r="R1" s="46"/>
      <c r="S1" s="46"/>
      <c r="T1" s="46"/>
      <c r="U1" s="46"/>
      <c r="V1" s="46"/>
    </row>
    <row r="2" spans="1:22" ht="27">
      <c r="A2" t="s">
        <v>0</v>
      </c>
      <c r="B2" t="s">
        <v>69</v>
      </c>
      <c r="C2" t="s">
        <v>68</v>
      </c>
      <c r="D2" t="s">
        <v>6</v>
      </c>
      <c r="E2" t="s">
        <v>1</v>
      </c>
      <c r="F2" t="s">
        <v>2</v>
      </c>
      <c r="G2" t="s">
        <v>12</v>
      </c>
      <c r="H2" t="s">
        <v>3</v>
      </c>
      <c r="I2" t="s">
        <v>11</v>
      </c>
      <c r="J2" t="s">
        <v>5</v>
      </c>
      <c r="K2" s="29" t="s">
        <v>18</v>
      </c>
      <c r="L2" s="26" t="s">
        <v>70</v>
      </c>
      <c r="M2" s="26" t="s">
        <v>4</v>
      </c>
      <c r="N2" s="26" t="s">
        <v>71</v>
      </c>
      <c r="O2" s="30" t="s">
        <v>19</v>
      </c>
      <c r="P2" s="31" t="s">
        <v>72</v>
      </c>
      <c r="Q2" s="9" t="s">
        <v>73</v>
      </c>
      <c r="R2" s="9" t="s">
        <v>74</v>
      </c>
      <c r="S2" t="s">
        <v>9</v>
      </c>
      <c r="U2" t="s">
        <v>10</v>
      </c>
      <c r="V2" t="s">
        <v>10</v>
      </c>
    </row>
    <row r="3" spans="1:22">
      <c r="B3" t="s">
        <v>29</v>
      </c>
      <c r="C3" t="s">
        <v>94</v>
      </c>
      <c r="D3">
        <v>6000</v>
      </c>
      <c r="F3" t="s">
        <v>95</v>
      </c>
      <c r="G3" t="b">
        <f>IF(F3="阀门",10,IF(F3="泵",20,IF(F3="压缩机",30,IF(F3="安全阀",40,IF(F3="接头",50,IF(F3="开口管线",60,IF(F3="采样接口",70)))))))</f>
        <v>0</v>
      </c>
      <c r="H3" t="s">
        <v>33</v>
      </c>
      <c r="I3" t="b">
        <f>IF(H3="气体",1,IF(H3="轻液体",2,IF(H3="重液体",3)))</f>
        <v>0</v>
      </c>
      <c r="K3" s="28"/>
      <c r="M3" s="26">
        <v>1000</v>
      </c>
      <c r="N3" s="26"/>
      <c r="O3" s="27"/>
      <c r="P3" s="27"/>
      <c r="Q3" s="27">
        <f>SUMPRODUCT((基础数据!$B$28:$B$51=$B3)*(基础数据!$C$28:$C$51=$F3)*(基础数据!$D$28:$D$51=$H3),基础数据!$F$28:$F$51)</f>
        <v>0</v>
      </c>
      <c r="R3" s="27" t="e">
        <f>SUMPRODUCT((基础数据!$B$28:$B$51=$B3)*(基础数据!$C$28:$C$51=$F3)*(基础数据!$D$28:$D$51=$H3),基础数据!#REF!)</f>
        <v>#REF!</v>
      </c>
      <c r="S3" t="e">
        <f t="array" ref="S3">VLOOKUP(I3&amp;M3&amp;O3,IF({1,0},基础数据!$B$54:$B$79&amp;基础数据!$C$54:$C$79&amp;基础数据!$D$54:$D$79,基础数据!$E$54:$E$79),2,0)</f>
        <v>#N/A</v>
      </c>
      <c r="T3" t="e">
        <f>R3*S3</f>
        <v>#REF!</v>
      </c>
      <c r="U3" t="e">
        <f>T3*K3/1000</f>
        <v>#REF!</v>
      </c>
    </row>
    <row r="4" spans="1:22">
      <c r="M4" s="26"/>
      <c r="N4" s="26"/>
      <c r="O4" s="27"/>
      <c r="P4" s="27"/>
      <c r="Q4" s="27"/>
      <c r="R4" s="27"/>
      <c r="S4" s="27"/>
      <c r="T4" s="27"/>
    </row>
    <row r="5" spans="1:22">
      <c r="M5" s="26"/>
      <c r="N5" s="26"/>
      <c r="O5" s="27"/>
      <c r="P5" s="27"/>
      <c r="Q5" s="27"/>
      <c r="R5" s="27"/>
      <c r="S5" s="27"/>
      <c r="T5" s="27"/>
    </row>
    <row r="6" spans="1:22">
      <c r="M6" s="26"/>
      <c r="N6" s="26"/>
      <c r="O6" s="27"/>
      <c r="P6" s="27"/>
      <c r="Q6" s="27"/>
      <c r="R6" s="27"/>
      <c r="S6" s="27"/>
      <c r="T6" s="27"/>
    </row>
    <row r="7" spans="1:22">
      <c r="M7" s="26"/>
      <c r="N7" s="26"/>
      <c r="O7" s="27"/>
      <c r="P7" s="27"/>
      <c r="Q7" s="27"/>
      <c r="R7" s="27"/>
      <c r="S7" s="27"/>
      <c r="T7" s="27"/>
    </row>
    <row r="8" spans="1:22">
      <c r="M8" s="26"/>
      <c r="N8" s="26"/>
      <c r="O8" s="27"/>
      <c r="P8" s="27"/>
      <c r="Q8" s="27"/>
      <c r="R8" s="27"/>
      <c r="S8" s="27"/>
      <c r="T8" s="27"/>
    </row>
    <row r="9" spans="1:22">
      <c r="M9" s="26"/>
      <c r="N9" s="26"/>
      <c r="O9" s="27"/>
      <c r="P9" s="27"/>
      <c r="Q9" s="27"/>
      <c r="R9" s="27"/>
      <c r="S9" s="27"/>
      <c r="T9" s="27"/>
    </row>
    <row r="10" spans="1:22">
      <c r="M10" s="26"/>
      <c r="N10" s="26"/>
      <c r="O10" s="27"/>
      <c r="P10" s="27"/>
      <c r="Q10" s="27"/>
      <c r="R10" s="27"/>
      <c r="S10" s="27"/>
      <c r="T10" s="27"/>
    </row>
  </sheetData>
  <dataConsolidate/>
  <phoneticPr fontId="1" type="noConversion"/>
  <conditionalFormatting sqref="K1:P1048576">
    <cfRule type="expression" dxfId="0" priority="1">
      <formula>IF($B2="二级",1,0)</formula>
    </cfRule>
  </conditionalFormatting>
  <dataValidations count="7">
    <dataValidation type="list" allowBlank="1" showInputMessage="1" showErrorMessage="1" sqref="F1:F2 F5:F1048576">
      <formula1>"阀门,泵,压缩机,安全阀,接头,开口管线,采样接口"</formula1>
    </dataValidation>
    <dataValidation type="list" allowBlank="1" showInputMessage="1" showErrorMessage="1" sqref="H1:H2 H4:H1048576">
      <formula1>"气体,轻液体,重液体"</formula1>
    </dataValidation>
    <dataValidation type="list" allowBlank="1" showInputMessage="1" showErrorMessage="1" sqref="C3">
      <formula1>"二级,三级,四级"</formula1>
    </dataValidation>
    <dataValidation type="list" allowBlank="1" showInputMessage="1" showErrorMessage="1" sqref="B3">
      <formula1>"石油加工,SOCMI"</formula1>
    </dataValidation>
    <dataValidation type="list" allowBlank="1" showInputMessage="1" showErrorMessage="1" sqref="H3">
      <formula1>INDIRECT($F$3)</formula1>
    </dataValidation>
    <dataValidation type="custom" allowBlank="1" showInputMessage="1" showErrorMessage="1" sqref="F4">
      <formula1>IF(C4="2级",INDIRECT(C4&amp;B4),INDIRECT(四级设备))</formula1>
    </dataValidation>
    <dataValidation type="list" allowBlank="1" showInputMessage="1" showErrorMessage="1" sqref="F3">
      <formula1>IF($C$3="三级",四级设备,INDIRECT($C3&amp;$B3))</formula1>
    </dataValidation>
  </dataValidation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13"/>
  <sheetViews>
    <sheetView topLeftCell="C1" workbookViewId="0">
      <selection activeCell="L4" sqref="L4"/>
    </sheetView>
  </sheetViews>
  <sheetFormatPr defaultRowHeight="13.5"/>
  <cols>
    <col min="3" max="3" width="13.25" customWidth="1"/>
    <col min="8" max="8" width="13" bestFit="1" customWidth="1"/>
    <col min="9" max="9" width="15.125" bestFit="1" customWidth="1"/>
    <col min="10" max="12" width="14" customWidth="1"/>
    <col min="13" max="13" width="11.75" customWidth="1"/>
    <col min="14" max="14" width="12.375" customWidth="1"/>
  </cols>
  <sheetData>
    <row r="1" spans="1:15" s="67" customFormat="1" ht="40.5">
      <c r="A1" s="64" t="s">
        <v>0</v>
      </c>
      <c r="B1" s="65" t="s">
        <v>15</v>
      </c>
      <c r="C1" s="65" t="s">
        <v>88</v>
      </c>
      <c r="D1" s="65" t="s">
        <v>6</v>
      </c>
      <c r="E1" s="65" t="s">
        <v>1</v>
      </c>
      <c r="F1" s="65" t="s">
        <v>2</v>
      </c>
      <c r="G1" s="65" t="s">
        <v>12</v>
      </c>
      <c r="H1" s="65" t="s">
        <v>3</v>
      </c>
      <c r="I1" s="65" t="s">
        <v>11</v>
      </c>
      <c r="J1" s="65" t="s">
        <v>5</v>
      </c>
      <c r="K1" s="65" t="s">
        <v>117</v>
      </c>
      <c r="L1" s="65" t="s">
        <v>75</v>
      </c>
      <c r="M1" s="65" t="s">
        <v>9</v>
      </c>
      <c r="N1" s="66" t="s">
        <v>10</v>
      </c>
    </row>
    <row r="2" spans="1:15">
      <c r="A2" s="34">
        <v>1</v>
      </c>
      <c r="B2" s="36" t="s">
        <v>118</v>
      </c>
      <c r="C2" s="36"/>
      <c r="D2" s="54">
        <v>8000</v>
      </c>
      <c r="E2" s="55"/>
      <c r="F2" s="53" t="s">
        <v>87</v>
      </c>
      <c r="G2" s="56"/>
      <c r="H2" s="53" t="s">
        <v>30</v>
      </c>
      <c r="I2" s="55"/>
      <c r="J2" s="54"/>
      <c r="K2" s="36">
        <v>1</v>
      </c>
      <c r="L2" s="57">
        <v>1</v>
      </c>
      <c r="M2" s="55" t="e">
        <f t="array" ref="M2">IF($K2=0,VLOOKUP($B2&amp;$F2&amp;$H2,IF({1,0},基础数据!$B$28:$B$51&amp;基础数据!$C$28:$C$51&amp;基础数据!$D$28:$D$51,基础数据!$E$28:$E$51),2,0),VLOOKUP($B2&amp;$F2&amp;$H2,IF({1,0},基础数据!$B$28:$B$51&amp;基础数据!$C$28:$C$51&amp;基础数据!$D$28:$D$51,基础数据!$F$28:$F$51),2,0))</f>
        <v>#N/A</v>
      </c>
      <c r="N2" s="58" t="e">
        <f>L2*M2*D2/1000</f>
        <v>#N/A</v>
      </c>
      <c r="O2" t="e">
        <f>M2*L2</f>
        <v>#N/A</v>
      </c>
    </row>
    <row r="3" spans="1:15">
      <c r="A3" s="34">
        <v>2</v>
      </c>
      <c r="B3" s="36" t="s">
        <v>118</v>
      </c>
      <c r="C3" s="36"/>
      <c r="D3" s="54">
        <v>8000</v>
      </c>
      <c r="E3" s="55"/>
      <c r="F3" s="53" t="s">
        <v>87</v>
      </c>
      <c r="G3" s="56"/>
      <c r="H3" s="53" t="s">
        <v>30</v>
      </c>
      <c r="I3" s="55"/>
      <c r="J3" s="54"/>
      <c r="K3" s="36">
        <v>0</v>
      </c>
      <c r="L3" s="57">
        <v>50</v>
      </c>
      <c r="M3" s="55" t="e">
        <f t="array" ref="M3">IF($K3=0,VLOOKUP($B3&amp;$F3&amp;$H3,IF({1,0},基础数据!$B$28:$B$51&amp;基础数据!$C$28:$C$51&amp;基础数据!$D$28:$D$51,基础数据!$E$28:$E$51),2,0),VLOOKUP($B3&amp;$F3&amp;$H3,IF({1,0},基础数据!$B$28:$B$51&amp;基础数据!$C$28:$C$51&amp;基础数据!$D$28:$D$51,基础数据!$F$28:$F$51),2,0))</f>
        <v>#N/A</v>
      </c>
      <c r="N3" s="58" t="e">
        <f t="shared" ref="N3:N12" si="0">L3*M3*D3/1000</f>
        <v>#N/A</v>
      </c>
      <c r="O3" t="e">
        <f t="shared" ref="O3:O12" si="1">M3*L3</f>
        <v>#N/A</v>
      </c>
    </row>
    <row r="4" spans="1:15">
      <c r="A4" s="34">
        <v>3</v>
      </c>
      <c r="B4" s="36" t="s">
        <v>121</v>
      </c>
      <c r="C4" s="36"/>
      <c r="D4" s="54">
        <v>8000</v>
      </c>
      <c r="E4" s="55"/>
      <c r="F4" s="53" t="s">
        <v>87</v>
      </c>
      <c r="G4" s="56"/>
      <c r="H4" s="53" t="s">
        <v>31</v>
      </c>
      <c r="I4" s="55"/>
      <c r="J4" s="54"/>
      <c r="K4" s="36">
        <v>0</v>
      </c>
      <c r="L4" s="57"/>
      <c r="M4" s="55" t="e">
        <f t="array" ref="M4">IF($K4=0,VLOOKUP($B4&amp;$F4&amp;$H4,IF({1,0},基础数据!$B$28:$B$51&amp;基础数据!$C$28:$C$51&amp;基础数据!$D$28:$D$51,基础数据!$E$28:$E$51),2,0),VLOOKUP($B4&amp;$F4&amp;$H4,IF({1,0},基础数据!$B$28:$B$51&amp;基础数据!$C$28:$C$51&amp;基础数据!$D$28:$D$51,基础数据!$F$28:$F$51),2,0))</f>
        <v>#N/A</v>
      </c>
      <c r="N4" s="58" t="e">
        <f t="shared" si="0"/>
        <v>#N/A</v>
      </c>
      <c r="O4" t="e">
        <f t="shared" si="1"/>
        <v>#N/A</v>
      </c>
    </row>
    <row r="5" spans="1:15">
      <c r="A5" s="34">
        <v>4</v>
      </c>
      <c r="B5" s="36" t="s">
        <v>121</v>
      </c>
      <c r="C5" s="36"/>
      <c r="D5" s="54">
        <v>8000</v>
      </c>
      <c r="E5" s="55"/>
      <c r="F5" s="53" t="s">
        <v>85</v>
      </c>
      <c r="G5" s="56"/>
      <c r="H5" s="53" t="s">
        <v>8</v>
      </c>
      <c r="I5" s="55"/>
      <c r="J5" s="54"/>
      <c r="K5" s="36">
        <v>0</v>
      </c>
      <c r="L5" s="57"/>
      <c r="M5" s="55" t="e">
        <f t="array" ref="M5">IF($K5=0,VLOOKUP($B5&amp;$F5&amp;$H5,IF({1,0},基础数据!$B$28:$B$51&amp;基础数据!$C$28:$C$51&amp;基础数据!$D$28:$D$51,基础数据!$E$28:$E$51),2,0),VLOOKUP($B5&amp;$F5&amp;$H5,IF({1,0},基础数据!$B$28:$B$51&amp;基础数据!$C$28:$C$51&amp;基础数据!$D$28:$D$51,基础数据!$F$28:$F$51),2,0))</f>
        <v>#N/A</v>
      </c>
      <c r="N5" s="58" t="e">
        <f t="shared" si="0"/>
        <v>#N/A</v>
      </c>
      <c r="O5" t="e">
        <f t="shared" si="1"/>
        <v>#N/A</v>
      </c>
    </row>
    <row r="6" spans="1:15">
      <c r="A6" s="34">
        <v>5</v>
      </c>
      <c r="B6" s="36" t="s">
        <v>121</v>
      </c>
      <c r="C6" s="36"/>
      <c r="D6" s="54">
        <v>8000</v>
      </c>
      <c r="E6" s="55"/>
      <c r="F6" s="53" t="s">
        <v>85</v>
      </c>
      <c r="G6" s="56"/>
      <c r="H6" s="53" t="s">
        <v>31</v>
      </c>
      <c r="I6" s="55"/>
      <c r="J6" s="54"/>
      <c r="K6" s="36">
        <v>0</v>
      </c>
      <c r="L6" s="57"/>
      <c r="M6" s="55" t="e">
        <f t="array" ref="M6">IF($K6=0,VLOOKUP($B6&amp;$F6&amp;$H6,IF({1,0},基础数据!$B$28:$B$51&amp;基础数据!$C$28:$C$51&amp;基础数据!$D$28:$D$51,基础数据!$E$28:$E$51),2,0),VLOOKUP($B6&amp;$F6&amp;$H6,IF({1,0},基础数据!$B$28:$B$51&amp;基础数据!$C$28:$C$51&amp;基础数据!$D$28:$D$51,基础数据!$F$28:$F$51),2,0))</f>
        <v>#N/A</v>
      </c>
      <c r="N6" s="58" t="e">
        <f t="shared" si="0"/>
        <v>#N/A</v>
      </c>
      <c r="O6" t="e">
        <f t="shared" si="1"/>
        <v>#N/A</v>
      </c>
    </row>
    <row r="7" spans="1:15">
      <c r="A7" s="34">
        <v>6</v>
      </c>
      <c r="B7" s="36" t="s">
        <v>121</v>
      </c>
      <c r="C7" s="36"/>
      <c r="D7" s="54">
        <v>8000</v>
      </c>
      <c r="E7" s="55"/>
      <c r="F7" s="53" t="s">
        <v>86</v>
      </c>
      <c r="G7" s="56"/>
      <c r="H7" s="53" t="s">
        <v>8</v>
      </c>
      <c r="I7" s="55"/>
      <c r="J7" s="54"/>
      <c r="K7" s="36">
        <v>0</v>
      </c>
      <c r="L7" s="57"/>
      <c r="M7" s="55" t="e">
        <f t="array" ref="M7">IF($K7=0,VLOOKUP($B7&amp;$F7&amp;$H7,IF({1,0},基础数据!$B$28:$B$51&amp;基础数据!$C$28:$C$51&amp;基础数据!$D$28:$D$51,基础数据!$E$28:$E$51),2,0),VLOOKUP($B7&amp;$F7&amp;$H7,IF({1,0},基础数据!$B$28:$B$51&amp;基础数据!$C$28:$C$51&amp;基础数据!$D$28:$D$51,基础数据!$F$28:$F$51),2,0))</f>
        <v>#N/A</v>
      </c>
      <c r="N7" s="58" t="e">
        <f t="shared" si="0"/>
        <v>#N/A</v>
      </c>
      <c r="O7" t="e">
        <f t="shared" si="1"/>
        <v>#N/A</v>
      </c>
    </row>
    <row r="8" spans="1:15">
      <c r="A8" s="34">
        <v>7</v>
      </c>
      <c r="B8" s="36" t="s">
        <v>121</v>
      </c>
      <c r="C8" s="36"/>
      <c r="D8" s="54">
        <v>8000</v>
      </c>
      <c r="E8" s="55"/>
      <c r="F8" s="53" t="s">
        <v>86</v>
      </c>
      <c r="G8" s="56"/>
      <c r="H8" s="53" t="s">
        <v>31</v>
      </c>
      <c r="I8" s="55"/>
      <c r="J8" s="54"/>
      <c r="K8" s="36">
        <v>0</v>
      </c>
      <c r="L8" s="57"/>
      <c r="M8" s="55" t="e">
        <f t="array" ref="M8">IF($K8=0,VLOOKUP($B8&amp;$F8&amp;$H8,IF({1,0},基础数据!$B$28:$B$51&amp;基础数据!$C$28:$C$51&amp;基础数据!$D$28:$D$51,基础数据!$E$28:$E$51),2,0),VLOOKUP($B8&amp;$F8&amp;$H8,IF({1,0},基础数据!$B$28:$B$51&amp;基础数据!$C$28:$C$51&amp;基础数据!$D$28:$D$51,基础数据!$F$28:$F$51),2,0))</f>
        <v>#N/A</v>
      </c>
      <c r="N8" s="58" t="e">
        <f t="shared" si="0"/>
        <v>#N/A</v>
      </c>
      <c r="O8" t="e">
        <f t="shared" si="1"/>
        <v>#N/A</v>
      </c>
    </row>
    <row r="9" spans="1:15">
      <c r="A9" s="34">
        <v>8</v>
      </c>
      <c r="B9" s="36" t="s">
        <v>121</v>
      </c>
      <c r="C9" s="36"/>
      <c r="D9" s="54">
        <v>8000</v>
      </c>
      <c r="E9" s="55"/>
      <c r="F9" s="53" t="s">
        <v>32</v>
      </c>
      <c r="G9" s="56"/>
      <c r="H9" s="53" t="s">
        <v>33</v>
      </c>
      <c r="I9" s="55"/>
      <c r="J9" s="54"/>
      <c r="K9" s="36">
        <v>0</v>
      </c>
      <c r="L9" s="57"/>
      <c r="M9" s="55" t="e">
        <f t="array" ref="M9">IF($K9=0,VLOOKUP($B9&amp;$F9&amp;$H9,IF({1,0},基础数据!$B$28:$B$51&amp;基础数据!$C$28:$C$51&amp;基础数据!$D$28:$D$51,基础数据!$E$28:$E$51),2,0),VLOOKUP($B9&amp;$F9&amp;$H9,IF({1,0},基础数据!$B$28:$B$51&amp;基础数据!$C$28:$C$51&amp;基础数据!$D$28:$D$51,基础数据!$F$28:$F$51),2,0))</f>
        <v>#N/A</v>
      </c>
      <c r="N9" s="58" t="e">
        <f t="shared" si="0"/>
        <v>#N/A</v>
      </c>
      <c r="O9" t="e">
        <f t="shared" si="1"/>
        <v>#N/A</v>
      </c>
    </row>
    <row r="10" spans="1:15">
      <c r="A10" s="34">
        <v>9</v>
      </c>
      <c r="B10" s="36" t="s">
        <v>121</v>
      </c>
      <c r="C10" s="36"/>
      <c r="D10" s="54">
        <v>8000</v>
      </c>
      <c r="E10" s="55"/>
      <c r="F10" s="53" t="s">
        <v>13</v>
      </c>
      <c r="G10" s="56"/>
      <c r="H10" s="53" t="s">
        <v>33</v>
      </c>
      <c r="I10" s="55"/>
      <c r="J10" s="54"/>
      <c r="K10" s="36">
        <v>0</v>
      </c>
      <c r="L10" s="57">
        <v>1</v>
      </c>
      <c r="M10" s="55" t="e">
        <f t="array" ref="M10">IF($K10=0,VLOOKUP($B10&amp;$F10&amp;$H10,IF({1,0},基础数据!$B$28:$B$51&amp;基础数据!$C$28:$C$51&amp;基础数据!$D$28:$D$51,基础数据!$E$28:$E$51),2,0),VLOOKUP($B10&amp;$F10&amp;$H10,IF({1,0},基础数据!$B$28:$B$51&amp;基础数据!$C$28:$C$51&amp;基础数据!$D$28:$D$51,基础数据!$F$28:$F$51),2,0))</f>
        <v>#N/A</v>
      </c>
      <c r="N10" s="58" t="e">
        <f t="shared" si="0"/>
        <v>#N/A</v>
      </c>
      <c r="O10" t="e">
        <f t="shared" si="1"/>
        <v>#N/A</v>
      </c>
    </row>
    <row r="11" spans="1:15">
      <c r="A11" s="34">
        <v>10</v>
      </c>
      <c r="B11" s="36" t="s">
        <v>121</v>
      </c>
      <c r="C11" s="36"/>
      <c r="D11" s="54">
        <v>8000</v>
      </c>
      <c r="E11" s="55"/>
      <c r="F11" s="53" t="s">
        <v>95</v>
      </c>
      <c r="G11" s="56"/>
      <c r="H11" s="53" t="s">
        <v>33</v>
      </c>
      <c r="I11" s="55"/>
      <c r="J11" s="54"/>
      <c r="K11" s="36">
        <v>0</v>
      </c>
      <c r="L11" s="57"/>
      <c r="M11" s="55">
        <f t="array" ref="M11">IF($K11=0,VLOOKUP($B11&amp;$F11&amp;$H11,IF({1,0},基础数据!$B$28:$B$51&amp;基础数据!$C$28:$C$51&amp;基础数据!$D$28:$D$51,基础数据!$E$28:$E$51),2,0),VLOOKUP($B11&amp;$F11&amp;$H11,IF({1,0},基础数据!$B$28:$B$51&amp;基础数据!$C$28:$C$51&amp;基础数据!$D$28:$D$51,基础数据!$F$28:$F$51),2,0))</f>
        <v>8.1000000000000004E-5</v>
      </c>
      <c r="N11" s="58">
        <f t="shared" si="0"/>
        <v>0</v>
      </c>
      <c r="O11">
        <f t="shared" si="1"/>
        <v>0</v>
      </c>
    </row>
    <row r="12" spans="1:15" ht="14.25" thickBot="1">
      <c r="A12" s="38">
        <v>11</v>
      </c>
      <c r="B12" s="36" t="s">
        <v>121</v>
      </c>
      <c r="C12" s="40"/>
      <c r="D12" s="54">
        <v>8000</v>
      </c>
      <c r="E12" s="60"/>
      <c r="F12" s="61" t="s">
        <v>34</v>
      </c>
      <c r="G12" s="62"/>
      <c r="H12" s="61" t="s">
        <v>33</v>
      </c>
      <c r="I12" s="60"/>
      <c r="J12" s="59"/>
      <c r="K12" s="40">
        <v>0</v>
      </c>
      <c r="L12" s="59">
        <v>18</v>
      </c>
      <c r="M12" s="60" t="e">
        <f t="array" ref="M12">IF($K12=0,VLOOKUP($B12&amp;$F12&amp;$H12,IF({1,0},基础数据!$B$28:$B$51&amp;基础数据!$C$28:$C$51&amp;基础数据!$D$28:$D$51,基础数据!$E$28:$E$51),2,0),VLOOKUP($B12&amp;$F12&amp;$H12,IF({1,0},基础数据!$B$28:$B$51&amp;基础数据!$C$28:$C$51&amp;基础数据!$D$28:$D$51,基础数据!$F$28:$F$51),2,0))</f>
        <v>#N/A</v>
      </c>
      <c r="N12" s="63" t="e">
        <f t="shared" si="0"/>
        <v>#N/A</v>
      </c>
      <c r="O12" t="e">
        <f t="shared" si="1"/>
        <v>#N/A</v>
      </c>
    </row>
    <row r="13" spans="1:15">
      <c r="M13" s="70" t="e">
        <f>SUM(M2:M12)</f>
        <v>#N/A</v>
      </c>
      <c r="O13" s="70" t="e">
        <f>SUM(O2:O12)</f>
        <v>#N/A</v>
      </c>
    </row>
  </sheetData>
  <phoneticPr fontId="1" type="noConversion"/>
  <dataValidations count="5">
    <dataValidation type="list" allowBlank="1" showInputMessage="1" showErrorMessage="1" sqref="F2:F12">
      <formula1>三级设备</formula1>
    </dataValidation>
    <dataValidation type="list" allowBlank="1" showInputMessage="1" showErrorMessage="1" sqref="H2:H12">
      <formula1>INDIRECT("三级"&amp;F2)</formula1>
    </dataValidation>
    <dataValidation type="list" allowBlank="1" showInputMessage="1" showErrorMessage="1" prompt="1代表“是”_x000a_0代表“否”" sqref="K2">
      <formula1>"0,1"</formula1>
    </dataValidation>
    <dataValidation type="list" allowBlank="1" showInputMessage="1" showErrorMessage="1" prompt="1代表“是”_x000a_0代表“否”" sqref="K3:K12">
      <formula1>"0,1"</formula1>
    </dataValidation>
    <dataValidation type="list" allowBlank="1" showInputMessage="1" showErrorMessage="1" sqref="B2:B12">
      <formula1>"石油炼制,石油化工"</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基础数据!$A$84:$A$102</xm:f>
          </x14:formula1>
          <xm:sqref>C2:C12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26"/>
  <sheetViews>
    <sheetView topLeftCell="E1" workbookViewId="0">
      <selection activeCell="K3" sqref="K3"/>
    </sheetView>
  </sheetViews>
  <sheetFormatPr defaultRowHeight="13.5"/>
  <cols>
    <col min="1" max="1" width="5.25" bestFit="1" customWidth="1"/>
    <col min="2" max="2" width="7.875" customWidth="1"/>
    <col min="3" max="3" width="15.125" bestFit="1" customWidth="1"/>
    <col min="4" max="4" width="17.25" bestFit="1" customWidth="1"/>
    <col min="5" max="6" width="11" bestFit="1" customWidth="1"/>
    <col min="7" max="7" width="15.125" bestFit="1" customWidth="1"/>
    <col min="8" max="8" width="13" bestFit="1" customWidth="1"/>
    <col min="9" max="9" width="15.125" bestFit="1" customWidth="1"/>
    <col min="10" max="10" width="20.625" bestFit="1" customWidth="1"/>
    <col min="11" max="11" width="11.625" bestFit="1" customWidth="1"/>
    <col min="12" max="12" width="18.125" customWidth="1"/>
    <col min="13" max="13" width="9.5" bestFit="1" customWidth="1"/>
    <col min="14" max="14" width="12.75" bestFit="1" customWidth="1"/>
  </cols>
  <sheetData>
    <row r="1" spans="1:14" s="67" customFormat="1" ht="40.5">
      <c r="A1" s="64" t="s">
        <v>0</v>
      </c>
      <c r="B1" s="65" t="s">
        <v>69</v>
      </c>
      <c r="C1" s="65" t="s">
        <v>88</v>
      </c>
      <c r="D1" s="68" t="s">
        <v>6</v>
      </c>
      <c r="E1" s="65" t="s">
        <v>1</v>
      </c>
      <c r="F1" s="65" t="s">
        <v>2</v>
      </c>
      <c r="G1" s="65" t="s">
        <v>12</v>
      </c>
      <c r="H1" s="65" t="s">
        <v>3</v>
      </c>
      <c r="I1" s="65" t="s">
        <v>11</v>
      </c>
      <c r="J1" s="65" t="s">
        <v>5</v>
      </c>
      <c r="K1" s="65" t="s">
        <v>75</v>
      </c>
      <c r="L1" s="65" t="s">
        <v>9</v>
      </c>
      <c r="M1" s="66" t="s">
        <v>10</v>
      </c>
    </row>
    <row r="2" spans="1:14">
      <c r="A2" s="34">
        <v>1</v>
      </c>
      <c r="B2" s="36" t="s">
        <v>118</v>
      </c>
      <c r="C2" s="36" t="s">
        <v>47</v>
      </c>
      <c r="D2" s="54">
        <v>8000</v>
      </c>
      <c r="E2" s="55"/>
      <c r="F2" s="53" t="s">
        <v>87</v>
      </c>
      <c r="G2" s="56"/>
      <c r="H2" s="53" t="s">
        <v>30</v>
      </c>
      <c r="I2" s="55"/>
      <c r="J2" s="54"/>
      <c r="K2" s="57">
        <v>1</v>
      </c>
      <c r="L2" s="55" t="e">
        <f t="array" ref="L2">VLOOKUP($B2&amp;$F2&amp;$H2,IF({1,0},基础数据!$B$54:$B$79&amp;基础数据!$C$54:$C$79&amp;基础数据!$D$54:$D$79,基础数据!$E$54:$E$79),2,0)</f>
        <v>#N/A</v>
      </c>
      <c r="M2" s="69" t="e">
        <f>K2*L2*D2/1000</f>
        <v>#N/A</v>
      </c>
    </row>
    <row r="3" spans="1:14">
      <c r="A3" s="34">
        <v>2</v>
      </c>
      <c r="B3" s="36" t="s">
        <v>118</v>
      </c>
      <c r="C3" s="36" t="s">
        <v>58</v>
      </c>
      <c r="D3" s="54">
        <v>8000</v>
      </c>
      <c r="E3" s="55"/>
      <c r="F3" s="53" t="s">
        <v>87</v>
      </c>
      <c r="G3" s="56"/>
      <c r="H3" s="53" t="s">
        <v>8</v>
      </c>
      <c r="I3" s="55"/>
      <c r="J3" s="54"/>
      <c r="K3" s="57"/>
      <c r="L3" s="55" t="e">
        <f t="array" ref="L3">VLOOKUP(B3&amp;F3&amp;H3,IF({1,0},基础数据!$B$54:$B$79&amp;基础数据!$C$54:$C$79&amp;基础数据!$D$54:$D$79,基础数据!$E$54:$E$79),2,0)</f>
        <v>#N/A</v>
      </c>
      <c r="M3" s="69" t="e">
        <f t="shared" ref="M3:M12" si="0">K3*L3*D3/1000</f>
        <v>#N/A</v>
      </c>
    </row>
    <row r="4" spans="1:14">
      <c r="A4" s="34">
        <v>3</v>
      </c>
      <c r="B4" s="36" t="s">
        <v>118</v>
      </c>
      <c r="C4" s="36" t="s">
        <v>47</v>
      </c>
      <c r="D4" s="54">
        <v>8000</v>
      </c>
      <c r="E4" s="55"/>
      <c r="F4" s="53" t="s">
        <v>87</v>
      </c>
      <c r="G4" s="56"/>
      <c r="H4" s="53" t="s">
        <v>31</v>
      </c>
      <c r="I4" s="55"/>
      <c r="J4" s="54"/>
      <c r="K4" s="57"/>
      <c r="L4" s="55" t="e">
        <f t="array" ref="L4">VLOOKUP(B4&amp;F4&amp;H4,IF({1,0},基础数据!$B$54:$B$79&amp;基础数据!$C$54:$C$79&amp;基础数据!$D$54:$D$79,基础数据!$E$54:$E$79),2,0)</f>
        <v>#N/A</v>
      </c>
      <c r="M4" s="69" t="e">
        <f t="shared" si="0"/>
        <v>#N/A</v>
      </c>
    </row>
    <row r="5" spans="1:14">
      <c r="A5" s="34">
        <v>4</v>
      </c>
      <c r="B5" s="36" t="s">
        <v>118</v>
      </c>
      <c r="C5" s="36" t="s">
        <v>47</v>
      </c>
      <c r="D5" s="54">
        <v>8000</v>
      </c>
      <c r="E5" s="55"/>
      <c r="F5" s="53" t="s">
        <v>85</v>
      </c>
      <c r="G5" s="56"/>
      <c r="H5" s="53" t="s">
        <v>8</v>
      </c>
      <c r="I5" s="55"/>
      <c r="J5" s="54"/>
      <c r="K5" s="57"/>
      <c r="L5" s="55" t="e">
        <f t="array" ref="L5">VLOOKUP(B5&amp;F5&amp;H5,IF({1,0},基础数据!$B$54:$B$79&amp;基础数据!$C$54:$C$79&amp;基础数据!$D$54:$D$79,基础数据!$E$54:$E$79),2,0)</f>
        <v>#N/A</v>
      </c>
      <c r="M5" s="69" t="e">
        <f t="shared" si="0"/>
        <v>#N/A</v>
      </c>
    </row>
    <row r="6" spans="1:14">
      <c r="A6" s="34">
        <v>5</v>
      </c>
      <c r="B6" s="36" t="s">
        <v>118</v>
      </c>
      <c r="C6" s="36" t="s">
        <v>47</v>
      </c>
      <c r="D6" s="54">
        <v>8000</v>
      </c>
      <c r="E6" s="55"/>
      <c r="F6" s="53" t="s">
        <v>85</v>
      </c>
      <c r="G6" s="56"/>
      <c r="H6" s="53" t="s">
        <v>31</v>
      </c>
      <c r="I6" s="55"/>
      <c r="J6" s="54"/>
      <c r="K6" s="57"/>
      <c r="L6" s="55" t="e">
        <f t="array" ref="L6">VLOOKUP(B6&amp;F6&amp;H6,IF({1,0},基础数据!$B$54:$B$79&amp;基础数据!$C$54:$C$79&amp;基础数据!$D$54:$D$79,基础数据!$E$54:$E$79),2,0)</f>
        <v>#N/A</v>
      </c>
      <c r="M6" s="69" t="e">
        <f t="shared" si="0"/>
        <v>#N/A</v>
      </c>
    </row>
    <row r="7" spans="1:14">
      <c r="A7" s="34">
        <v>6</v>
      </c>
      <c r="B7" s="36" t="s">
        <v>118</v>
      </c>
      <c r="C7" s="36" t="s">
        <v>47</v>
      </c>
      <c r="D7" s="54">
        <v>8000</v>
      </c>
      <c r="E7" s="55"/>
      <c r="F7" s="53" t="s">
        <v>32</v>
      </c>
      <c r="G7" s="56"/>
      <c r="H7" s="53" t="s">
        <v>30</v>
      </c>
      <c r="I7" s="55"/>
      <c r="J7" s="54"/>
      <c r="K7" s="57"/>
      <c r="L7" s="55" t="e">
        <f t="array" ref="L7">VLOOKUP(B7&amp;F7&amp;H7,IF({1,0},基础数据!$B$54:$B$79&amp;基础数据!$C$54:$C$79&amp;基础数据!$D$54:$D$79,基础数据!$E$54:$E$79),2,0)</f>
        <v>#N/A</v>
      </c>
      <c r="M7" s="69" t="e">
        <f t="shared" si="0"/>
        <v>#N/A</v>
      </c>
    </row>
    <row r="8" spans="1:14">
      <c r="A8" s="34">
        <v>7</v>
      </c>
      <c r="B8" s="36" t="s">
        <v>118</v>
      </c>
      <c r="C8" s="36" t="s">
        <v>47</v>
      </c>
      <c r="D8" s="54">
        <v>8000</v>
      </c>
      <c r="E8" s="55"/>
      <c r="F8" s="53" t="s">
        <v>13</v>
      </c>
      <c r="G8" s="56"/>
      <c r="H8" s="53" t="s">
        <v>30</v>
      </c>
      <c r="I8" s="55"/>
      <c r="J8" s="54"/>
      <c r="K8" s="57"/>
      <c r="L8" s="55" t="e">
        <f t="array" ref="L8">VLOOKUP(B8&amp;F8&amp;H8,IF({1,0},基础数据!$B$54:$B$79&amp;基础数据!$C$54:$C$79&amp;基础数据!$D$54:$D$79,基础数据!$E$54:$E$79),2,0)</f>
        <v>#N/A</v>
      </c>
      <c r="M8" s="69" t="e">
        <f t="shared" si="0"/>
        <v>#N/A</v>
      </c>
    </row>
    <row r="9" spans="1:14">
      <c r="A9" s="34">
        <v>8</v>
      </c>
      <c r="B9" s="36" t="s">
        <v>118</v>
      </c>
      <c r="C9" s="36" t="s">
        <v>47</v>
      </c>
      <c r="D9" s="54">
        <v>8000</v>
      </c>
      <c r="E9" s="55"/>
      <c r="F9" s="53" t="s">
        <v>95</v>
      </c>
      <c r="G9" s="56"/>
      <c r="H9" s="53" t="s">
        <v>33</v>
      </c>
      <c r="I9" s="55"/>
      <c r="J9" s="54"/>
      <c r="K9" s="57">
        <v>2880</v>
      </c>
      <c r="L9" s="55">
        <f t="array" ref="L9">VLOOKUP(B9&amp;F9&amp;H9,IF({1,0},基础数据!$B$54:$B$79&amp;基础数据!$C$54:$C$79&amp;基础数据!$D$54:$D$79,基础数据!$E$54:$E$79),2,0)</f>
        <v>2.5000000000000001E-4</v>
      </c>
      <c r="M9" s="69">
        <f t="shared" si="0"/>
        <v>5.76</v>
      </c>
    </row>
    <row r="10" spans="1:14">
      <c r="A10" s="34">
        <v>9</v>
      </c>
      <c r="B10" s="36" t="s">
        <v>118</v>
      </c>
      <c r="C10" s="36" t="s">
        <v>47</v>
      </c>
      <c r="D10" s="54">
        <v>8000</v>
      </c>
      <c r="E10" s="55"/>
      <c r="F10" s="53" t="s">
        <v>34</v>
      </c>
      <c r="G10" s="56"/>
      <c r="H10" s="53" t="s">
        <v>33</v>
      </c>
      <c r="I10" s="55"/>
      <c r="J10" s="54"/>
      <c r="K10" s="57">
        <v>18</v>
      </c>
      <c r="L10" s="55" t="e">
        <f t="array" ref="L10">VLOOKUP(B10&amp;F10&amp;H10,IF({1,0},基础数据!$B$54:$B$79&amp;基础数据!$C$54:$C$79&amp;基础数据!$D$54:$D$79,基础数据!$E$54:$E$79),2,0)</f>
        <v>#N/A</v>
      </c>
      <c r="M10" s="69" t="e">
        <f t="shared" si="0"/>
        <v>#N/A</v>
      </c>
    </row>
    <row r="11" spans="1:14">
      <c r="A11" s="34">
        <v>10</v>
      </c>
      <c r="B11" s="36" t="s">
        <v>118</v>
      </c>
      <c r="C11" s="36" t="s">
        <v>47</v>
      </c>
      <c r="D11" s="54">
        <v>8000</v>
      </c>
      <c r="E11" s="55"/>
      <c r="F11" s="53" t="s">
        <v>87</v>
      </c>
      <c r="G11" s="56"/>
      <c r="H11" s="53" t="s">
        <v>30</v>
      </c>
      <c r="I11" s="55"/>
      <c r="J11" s="54"/>
      <c r="K11" s="57"/>
      <c r="L11" s="55" t="e">
        <f t="array" ref="L11">VLOOKUP(B11&amp;F11&amp;H11,IF({1,0},基础数据!$B$54:$B$79&amp;基础数据!$C$54:$C$79&amp;基础数据!$D$54:$D$79,基础数据!$E$54:$E$79),2,0)</f>
        <v>#N/A</v>
      </c>
      <c r="M11" s="69" t="e">
        <f t="shared" si="0"/>
        <v>#N/A</v>
      </c>
    </row>
    <row r="12" spans="1:14" ht="14.25" thickBot="1">
      <c r="A12" s="34">
        <v>11</v>
      </c>
      <c r="B12" s="36" t="s">
        <v>118</v>
      </c>
      <c r="C12" s="40" t="s">
        <v>47</v>
      </c>
      <c r="D12" s="54">
        <v>8000</v>
      </c>
      <c r="E12" s="60"/>
      <c r="F12" s="61" t="s">
        <v>39</v>
      </c>
      <c r="G12" s="62"/>
      <c r="H12" s="61" t="s">
        <v>33</v>
      </c>
      <c r="I12" s="60"/>
      <c r="J12" s="59"/>
      <c r="K12" s="59"/>
      <c r="L12" s="60" t="e">
        <f t="array" ref="L12">VLOOKUP(B12&amp;F12&amp;H12,IF({1,0},基础数据!$B$54:$B$79&amp;基础数据!$C$54:$C$79&amp;基础数据!$D$54:$D$79,基础数据!$E$54:$E$79),2,0)</f>
        <v>#N/A</v>
      </c>
      <c r="M12" s="69" t="e">
        <f t="shared" si="0"/>
        <v>#N/A</v>
      </c>
    </row>
    <row r="13" spans="1:14">
      <c r="J13" s="27"/>
      <c r="K13" s="27"/>
      <c r="M13" t="e">
        <f>SUM(M2:M10)</f>
        <v>#N/A</v>
      </c>
      <c r="N13" t="e">
        <f>M13/8</f>
        <v>#N/A</v>
      </c>
    </row>
    <row r="14" spans="1:14">
      <c r="M14">
        <v>635.54399999999998</v>
      </c>
    </row>
    <row r="15" spans="1:14">
      <c r="J15">
        <v>520000</v>
      </c>
      <c r="M15" t="e">
        <f>M14+M13</f>
        <v>#N/A</v>
      </c>
    </row>
    <row r="16" spans="1:14">
      <c r="G16" t="s">
        <v>96</v>
      </c>
      <c r="H16">
        <v>6905</v>
      </c>
      <c r="I16">
        <f>H16/$H$26</f>
        <v>3.3777834305169646E-2</v>
      </c>
      <c r="J16" s="47">
        <f>I16*$J$15</f>
        <v>17564.473838688216</v>
      </c>
      <c r="K16" s="47">
        <f>J16-H16</f>
        <v>10659.473838688216</v>
      </c>
    </row>
    <row r="17" spans="7:11">
      <c r="H17">
        <v>10132</v>
      </c>
      <c r="I17">
        <f t="shared" ref="I17:I25" si="1">H17/$H$26</f>
        <v>4.9563652017375649E-2</v>
      </c>
      <c r="J17" s="47">
        <f t="shared" ref="J17:J25" si="2">I17*$J$15</f>
        <v>25773.099049035336</v>
      </c>
      <c r="K17" s="47">
        <f t="shared" ref="K17:K25" si="3">J17-H17</f>
        <v>15641.099049035336</v>
      </c>
    </row>
    <row r="18" spans="7:11">
      <c r="H18">
        <v>4109</v>
      </c>
      <c r="I18">
        <f t="shared" si="1"/>
        <v>2.0100379603177711E-2</v>
      </c>
      <c r="J18" s="47">
        <f t="shared" si="2"/>
        <v>10452.19739365241</v>
      </c>
      <c r="K18" s="47">
        <f t="shared" si="3"/>
        <v>6343.19739365241</v>
      </c>
    </row>
    <row r="19" spans="7:11">
      <c r="G19" t="s">
        <v>97</v>
      </c>
      <c r="H19">
        <v>140</v>
      </c>
      <c r="I19">
        <f t="shared" si="1"/>
        <v>6.8485109380503264E-4</v>
      </c>
      <c r="J19" s="47">
        <f t="shared" si="2"/>
        <v>356.12256877861699</v>
      </c>
      <c r="K19" s="47">
        <f t="shared" si="3"/>
        <v>216.12256877861699</v>
      </c>
    </row>
    <row r="20" spans="7:11">
      <c r="H20">
        <v>40</v>
      </c>
      <c r="I20">
        <f t="shared" si="1"/>
        <v>1.9567174108715219E-4</v>
      </c>
      <c r="J20" s="47">
        <f t="shared" si="2"/>
        <v>101.74930536531915</v>
      </c>
      <c r="K20" s="47">
        <f t="shared" si="3"/>
        <v>61.749305365319145</v>
      </c>
    </row>
    <row r="21" spans="7:11">
      <c r="G21" t="s">
        <v>98</v>
      </c>
      <c r="H21">
        <v>7</v>
      </c>
      <c r="I21">
        <f t="shared" si="1"/>
        <v>3.4242554690251632E-5</v>
      </c>
      <c r="J21" s="47">
        <f t="shared" si="2"/>
        <v>17.806128438930848</v>
      </c>
      <c r="K21" s="47">
        <f t="shared" si="3"/>
        <v>10.806128438930848</v>
      </c>
    </row>
    <row r="22" spans="7:11">
      <c r="G22" t="s">
        <v>99</v>
      </c>
      <c r="H22">
        <v>106</v>
      </c>
      <c r="I22">
        <f t="shared" si="1"/>
        <v>5.1853011388095329E-4</v>
      </c>
      <c r="J22" s="47">
        <f t="shared" si="2"/>
        <v>269.63565921809573</v>
      </c>
      <c r="K22" s="47">
        <f t="shared" si="3"/>
        <v>163.63565921809573</v>
      </c>
    </row>
    <row r="23" spans="7:11">
      <c r="G23" t="s">
        <v>100</v>
      </c>
      <c r="H23">
        <v>63879</v>
      </c>
      <c r="I23">
        <f t="shared" si="1"/>
        <v>0.3124828787226549</v>
      </c>
      <c r="J23" s="47">
        <f t="shared" si="2"/>
        <v>162491.09693578054</v>
      </c>
      <c r="K23" s="47">
        <f t="shared" si="3"/>
        <v>98612.096935780544</v>
      </c>
    </row>
    <row r="24" spans="7:11">
      <c r="G24" t="s">
        <v>101</v>
      </c>
      <c r="H24">
        <v>116067</v>
      </c>
      <c r="I24">
        <f t="shared" si="1"/>
        <v>0.5677757993190623</v>
      </c>
      <c r="J24" s="47">
        <f t="shared" si="2"/>
        <v>295243.41564591241</v>
      </c>
      <c r="K24" s="47">
        <f t="shared" si="3"/>
        <v>179176.41564591241</v>
      </c>
    </row>
    <row r="25" spans="7:11">
      <c r="G25" t="s">
        <v>102</v>
      </c>
      <c r="H25">
        <v>3039</v>
      </c>
      <c r="I25">
        <f t="shared" si="1"/>
        <v>1.4866160529096388E-2</v>
      </c>
      <c r="J25" s="47">
        <f t="shared" si="2"/>
        <v>7730.4034751301215</v>
      </c>
      <c r="K25" s="47">
        <f t="shared" si="3"/>
        <v>4691.4034751301215</v>
      </c>
    </row>
    <row r="26" spans="7:11">
      <c r="H26">
        <f>SUM(H16:H25)</f>
        <v>204424</v>
      </c>
    </row>
  </sheetData>
  <phoneticPr fontId="1" type="noConversion"/>
  <dataValidations count="5">
    <dataValidation type="list" allowBlank="1" showInputMessage="1" showErrorMessage="1" sqref="H1">
      <formula1>"气体,轻液体,重液体"</formula1>
    </dataValidation>
    <dataValidation type="list" allowBlank="1" showInputMessage="1" showErrorMessage="1" sqref="F1">
      <formula1>"阀门,泵,压缩机,安全阀,接头,开口管线,采样接口"</formula1>
    </dataValidation>
    <dataValidation type="list" allowBlank="1" showInputMessage="1" showErrorMessage="1" sqref="F2:F12">
      <formula1>四级设备</formula1>
    </dataValidation>
    <dataValidation type="list" allowBlank="1" showInputMessage="1" showErrorMessage="1" sqref="H2:H12">
      <formula1>INDIRECT("四级"&amp;F2)</formula1>
    </dataValidation>
    <dataValidation type="list" allowBlank="1" showInputMessage="1" showErrorMessage="1" sqref="B2:B12">
      <formula1>"石油炼制,石油化工"</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基础数据!$A$84:$A$102</xm:f>
          </x14:formula1>
          <xm:sqref>C2:C12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23"/>
  <sheetViews>
    <sheetView workbookViewId="0">
      <selection activeCell="G4" sqref="G4"/>
    </sheetView>
  </sheetViews>
  <sheetFormatPr defaultRowHeight="13.5"/>
  <cols>
    <col min="1" max="1" width="5.25" bestFit="1" customWidth="1"/>
    <col min="2" max="2" width="20.125" customWidth="1"/>
    <col min="3" max="5" width="11.375" customWidth="1"/>
    <col min="6" max="6" width="20.625" bestFit="1" customWidth="1"/>
    <col min="7" max="7" width="19.375" bestFit="1" customWidth="1"/>
    <col min="8" max="8" width="18.375" bestFit="1" customWidth="1"/>
  </cols>
  <sheetData>
    <row r="1" spans="1:8">
      <c r="A1" s="218" t="s">
        <v>77</v>
      </c>
      <c r="B1" s="219"/>
      <c r="C1" s="219"/>
      <c r="D1" s="219"/>
      <c r="E1" s="219"/>
      <c r="F1" s="219"/>
      <c r="G1" s="219"/>
      <c r="H1" s="220"/>
    </row>
    <row r="2" spans="1:8">
      <c r="A2" s="34" t="s">
        <v>0</v>
      </c>
      <c r="B2" s="35" t="s">
        <v>81</v>
      </c>
      <c r="C2" s="35" t="s">
        <v>80</v>
      </c>
      <c r="D2" s="35" t="s">
        <v>6</v>
      </c>
      <c r="E2" s="35" t="s">
        <v>76</v>
      </c>
      <c r="F2" s="35" t="s">
        <v>5</v>
      </c>
      <c r="G2" s="36" t="s">
        <v>79</v>
      </c>
      <c r="H2" s="37" t="s">
        <v>10</v>
      </c>
    </row>
    <row r="3" spans="1:8">
      <c r="A3" s="34"/>
      <c r="B3" s="35">
        <v>1000</v>
      </c>
      <c r="C3" s="35">
        <v>0.85</v>
      </c>
      <c r="D3" s="35">
        <v>8000</v>
      </c>
      <c r="E3" s="35" t="s">
        <v>46</v>
      </c>
      <c r="F3" s="35"/>
      <c r="G3" s="36">
        <f>IF(B3*6.29*24/C3/D3&lt;5,VLOOKUP(E3,基础数据!$A$84:$P$102,16,0),VLOOKUP(E3,基础数据!$A$108:$P$126,16,0))</f>
        <v>15.725489999999999</v>
      </c>
      <c r="H3" s="37">
        <f>G3*D3/1000</f>
        <v>125.80391999999998</v>
      </c>
    </row>
    <row r="4" spans="1:8">
      <c r="A4" s="34"/>
      <c r="B4" s="35">
        <v>500</v>
      </c>
      <c r="C4" s="35">
        <v>0.83</v>
      </c>
      <c r="D4" s="35">
        <v>4000</v>
      </c>
      <c r="E4" s="35" t="s">
        <v>93</v>
      </c>
      <c r="F4" s="35"/>
      <c r="G4" s="36">
        <f>IF(B4*6.29*24/C4/D4&lt;5,VLOOKUP(E4,基础数据!$A$84:$P$102,16,0),VLOOKUP(E4,基础数据!$A$108:$P$126,16,0))</f>
        <v>13.050849999999997</v>
      </c>
      <c r="H4" s="37">
        <f t="shared" ref="H4:H23" si="0">G4*D4/1000</f>
        <v>52.203399999999988</v>
      </c>
    </row>
    <row r="5" spans="1:8">
      <c r="A5" s="34"/>
      <c r="B5" s="35"/>
      <c r="C5" s="35"/>
      <c r="D5" s="35"/>
      <c r="E5" s="35"/>
      <c r="F5" s="35"/>
      <c r="G5" s="36" t="e">
        <f>IF(B5*6.29*24/C5/D5&lt;5,VLOOKUP(E5,基础数据!$A$84:$P$102,16,0),VLOOKUP(E5,基础数据!$A$108:$P$126,16,0))</f>
        <v>#DIV/0!</v>
      </c>
      <c r="H5" s="37" t="e">
        <f t="shared" si="0"/>
        <v>#DIV/0!</v>
      </c>
    </row>
    <row r="6" spans="1:8">
      <c r="A6" s="34"/>
      <c r="B6" s="35"/>
      <c r="C6" s="35"/>
      <c r="D6" s="35"/>
      <c r="E6" s="35"/>
      <c r="F6" s="35"/>
      <c r="G6" s="36" t="e">
        <f>IF(B6*6.29*24/C6/D6&lt;5,VLOOKUP(E6,基础数据!$A$84:$P$102,16,0),VLOOKUP(E6,基础数据!$A$108:$P$126,16,0))</f>
        <v>#DIV/0!</v>
      </c>
      <c r="H6" s="37" t="e">
        <f t="shared" si="0"/>
        <v>#DIV/0!</v>
      </c>
    </row>
    <row r="7" spans="1:8">
      <c r="A7" s="34"/>
      <c r="B7" s="35"/>
      <c r="C7" s="35"/>
      <c r="D7" s="35"/>
      <c r="E7" s="35"/>
      <c r="F7" s="35"/>
      <c r="G7" s="36" t="e">
        <f>IF(B7*6.29*24/C7/D7&lt;5,VLOOKUP(E7,基础数据!$A$84:$P$102,16,0),VLOOKUP(E7,基础数据!$A$108:$P$126,16,0))</f>
        <v>#DIV/0!</v>
      </c>
      <c r="H7" s="37" t="e">
        <f t="shared" si="0"/>
        <v>#DIV/0!</v>
      </c>
    </row>
    <row r="8" spans="1:8">
      <c r="A8" s="34"/>
      <c r="B8" s="35"/>
      <c r="C8" s="35"/>
      <c r="D8" s="35"/>
      <c r="E8" s="35"/>
      <c r="F8" s="35"/>
      <c r="G8" s="36" t="e">
        <f>IF(B8*6.29*24/C8/D8&lt;5,VLOOKUP(E8,基础数据!$A$84:$P$102,16,0),VLOOKUP(E8,基础数据!$A$108:$P$126,16,0))</f>
        <v>#DIV/0!</v>
      </c>
      <c r="H8" s="37" t="e">
        <f t="shared" si="0"/>
        <v>#DIV/0!</v>
      </c>
    </row>
    <row r="9" spans="1:8">
      <c r="A9" s="34"/>
      <c r="B9" s="35"/>
      <c r="C9" s="35"/>
      <c r="D9" s="35"/>
      <c r="E9" s="35"/>
      <c r="F9" s="35"/>
      <c r="G9" s="36" t="e">
        <f>IF(B9*6.29*24/C9/D9&lt;5,VLOOKUP(E9,基础数据!$A$84:$P$102,16,0),VLOOKUP(E9,基础数据!$A$108:$P$126,16,0))</f>
        <v>#DIV/0!</v>
      </c>
      <c r="H9" s="37" t="e">
        <f t="shared" si="0"/>
        <v>#DIV/0!</v>
      </c>
    </row>
    <row r="10" spans="1:8">
      <c r="A10" s="34"/>
      <c r="B10" s="35"/>
      <c r="C10" s="35"/>
      <c r="D10" s="35"/>
      <c r="E10" s="35"/>
      <c r="F10" s="35"/>
      <c r="G10" s="36" t="e">
        <f>IF(B10*6.29*24/C10/D10&lt;5,VLOOKUP(E10,基础数据!$A$84:$P$102,16,0),VLOOKUP(E10,基础数据!$A$108:$P$126,16,0))</f>
        <v>#DIV/0!</v>
      </c>
      <c r="H10" s="37" t="e">
        <f t="shared" si="0"/>
        <v>#DIV/0!</v>
      </c>
    </row>
    <row r="11" spans="1:8">
      <c r="A11" s="34"/>
      <c r="B11" s="35"/>
      <c r="C11" s="35"/>
      <c r="D11" s="35"/>
      <c r="E11" s="35"/>
      <c r="F11" s="35"/>
      <c r="G11" s="36" t="e">
        <f>IF(B11*6.29*24/C11/D11&lt;5,VLOOKUP(E11,基础数据!$A$84:$P$102,16,0),VLOOKUP(E11,基础数据!$A$108:$P$126,16,0))</f>
        <v>#DIV/0!</v>
      </c>
      <c r="H11" s="37" t="e">
        <f t="shared" si="0"/>
        <v>#DIV/0!</v>
      </c>
    </row>
    <row r="12" spans="1:8">
      <c r="A12" s="34"/>
      <c r="B12" s="35"/>
      <c r="C12" s="35"/>
      <c r="D12" s="35"/>
      <c r="E12" s="35"/>
      <c r="F12" s="35"/>
      <c r="G12" s="36" t="e">
        <f>IF(B12*6.29*24/C12/D12&lt;5,VLOOKUP(E12,基础数据!$A$84:$P$102,16,0),VLOOKUP(E12,基础数据!$A$108:$P$126,16,0))</f>
        <v>#DIV/0!</v>
      </c>
      <c r="H12" s="37" t="e">
        <f t="shared" si="0"/>
        <v>#DIV/0!</v>
      </c>
    </row>
    <row r="13" spans="1:8">
      <c r="A13" s="34"/>
      <c r="B13" s="35"/>
      <c r="C13" s="35"/>
      <c r="D13" s="35"/>
      <c r="E13" s="35"/>
      <c r="F13" s="35"/>
      <c r="G13" s="36" t="e">
        <f>IF(B13*6.29*24/C13/D13&lt;5,VLOOKUP(E13,基础数据!$A$84:$P$102,16,0),VLOOKUP(E13,基础数据!$A$108:$P$126,16,0))</f>
        <v>#DIV/0!</v>
      </c>
      <c r="H13" s="37" t="e">
        <f t="shared" si="0"/>
        <v>#DIV/0!</v>
      </c>
    </row>
    <row r="14" spans="1:8">
      <c r="A14" s="34"/>
      <c r="B14" s="35"/>
      <c r="C14" s="35"/>
      <c r="D14" s="35"/>
      <c r="E14" s="35"/>
      <c r="F14" s="35"/>
      <c r="G14" s="36" t="e">
        <f>IF(B14*6.29*24/C14/D14&lt;5,VLOOKUP(E14,基础数据!$A$84:$P$102,16,0),VLOOKUP(E14,基础数据!$A$108:$P$126,16,0))</f>
        <v>#DIV/0!</v>
      </c>
      <c r="H14" s="37" t="e">
        <f t="shared" si="0"/>
        <v>#DIV/0!</v>
      </c>
    </row>
    <row r="15" spans="1:8">
      <c r="A15" s="34"/>
      <c r="B15" s="35"/>
      <c r="C15" s="35"/>
      <c r="D15" s="35"/>
      <c r="E15" s="35"/>
      <c r="F15" s="35"/>
      <c r="G15" s="36" t="e">
        <f>IF(B15*6.29*24/C15/D15&lt;5,VLOOKUP(E15,基础数据!$A$84:$P$102,16,0),VLOOKUP(E15,基础数据!$A$108:$P$126,16,0))</f>
        <v>#DIV/0!</v>
      </c>
      <c r="H15" s="37" t="e">
        <f t="shared" si="0"/>
        <v>#DIV/0!</v>
      </c>
    </row>
    <row r="16" spans="1:8">
      <c r="A16" s="34"/>
      <c r="B16" s="35"/>
      <c r="C16" s="35"/>
      <c r="D16" s="35"/>
      <c r="E16" s="35"/>
      <c r="F16" s="35"/>
      <c r="G16" s="36" t="e">
        <f>IF(B16*6.29*24/C16/D16&lt;5,VLOOKUP(E16,基础数据!$A$84:$P$102,16,0),VLOOKUP(E16,基础数据!$A$108:$P$126,16,0))</f>
        <v>#DIV/0!</v>
      </c>
      <c r="H16" s="37" t="e">
        <f t="shared" si="0"/>
        <v>#DIV/0!</v>
      </c>
    </row>
    <row r="17" spans="1:8">
      <c r="A17" s="34"/>
      <c r="B17" s="35"/>
      <c r="C17" s="35"/>
      <c r="D17" s="35"/>
      <c r="E17" s="35"/>
      <c r="F17" s="35"/>
      <c r="G17" s="36" t="e">
        <f>IF(B17*6.29*24/C17/D17&lt;5,VLOOKUP(E17,基础数据!$A$84:$P$102,16,0),VLOOKUP(E17,基础数据!$A$108:$P$126,16,0))</f>
        <v>#DIV/0!</v>
      </c>
      <c r="H17" s="37" t="e">
        <f t="shared" si="0"/>
        <v>#DIV/0!</v>
      </c>
    </row>
    <row r="18" spans="1:8">
      <c r="A18" s="34"/>
      <c r="B18" s="35"/>
      <c r="C18" s="35"/>
      <c r="D18" s="35"/>
      <c r="E18" s="35"/>
      <c r="F18" s="35"/>
      <c r="G18" s="36" t="e">
        <f>IF(B18*6.29*24/C18/D18&lt;5,VLOOKUP(E18,基础数据!$A$84:$P$102,16,0),VLOOKUP(E18,基础数据!$A$108:$P$126,16,0))</f>
        <v>#DIV/0!</v>
      </c>
      <c r="H18" s="37" t="e">
        <f t="shared" si="0"/>
        <v>#DIV/0!</v>
      </c>
    </row>
    <row r="19" spans="1:8">
      <c r="A19" s="34"/>
      <c r="B19" s="35"/>
      <c r="C19" s="35"/>
      <c r="D19" s="35"/>
      <c r="E19" s="35"/>
      <c r="F19" s="35"/>
      <c r="G19" s="36" t="e">
        <f>IF(B19*6.29*24/C19/D19&lt;5,VLOOKUP(E19,基础数据!$A$84:$P$102,16,0),VLOOKUP(E19,基础数据!$A$108:$P$126,16,0))</f>
        <v>#DIV/0!</v>
      </c>
      <c r="H19" s="37" t="e">
        <f t="shared" si="0"/>
        <v>#DIV/0!</v>
      </c>
    </row>
    <row r="20" spans="1:8">
      <c r="A20" s="34"/>
      <c r="B20" s="35"/>
      <c r="C20" s="35"/>
      <c r="D20" s="35"/>
      <c r="E20" s="35"/>
      <c r="F20" s="35"/>
      <c r="G20" s="36" t="e">
        <f>IF(B20*6.29*24/C20/D20&lt;5,VLOOKUP(E20,基础数据!$A$84:$P$102,16,0),VLOOKUP(E20,基础数据!$A$108:$P$126,16,0))</f>
        <v>#DIV/0!</v>
      </c>
      <c r="H20" s="37" t="e">
        <f t="shared" si="0"/>
        <v>#DIV/0!</v>
      </c>
    </row>
    <row r="21" spans="1:8">
      <c r="A21" s="34"/>
      <c r="B21" s="35"/>
      <c r="C21" s="35"/>
      <c r="D21" s="35"/>
      <c r="E21" s="35"/>
      <c r="F21" s="35"/>
      <c r="G21" s="36" t="e">
        <f>IF(B21*6.29*24/C21/D21&lt;5,VLOOKUP(E21,基础数据!$A$84:$P$102,16,0),VLOOKUP(E21,基础数据!$A$108:$P$126,16,0))</f>
        <v>#DIV/0!</v>
      </c>
      <c r="H21" s="37" t="e">
        <f t="shared" si="0"/>
        <v>#DIV/0!</v>
      </c>
    </row>
    <row r="22" spans="1:8">
      <c r="A22" s="34"/>
      <c r="B22" s="35"/>
      <c r="C22" s="35"/>
      <c r="D22" s="35"/>
      <c r="E22" s="35"/>
      <c r="F22" s="35"/>
      <c r="G22" s="36" t="e">
        <f>IF(B22*6.29*24/C22/D22&lt;5,VLOOKUP(E22,基础数据!$A$84:$P$102,16,0),VLOOKUP(E22,基础数据!$A$108:$P$126,16,0))</f>
        <v>#DIV/0!</v>
      </c>
      <c r="H22" s="37" t="e">
        <f t="shared" si="0"/>
        <v>#DIV/0!</v>
      </c>
    </row>
    <row r="23" spans="1:8" ht="14.25" thickBot="1">
      <c r="A23" s="38"/>
      <c r="B23" s="39"/>
      <c r="C23" s="39"/>
      <c r="D23" s="39"/>
      <c r="E23" s="39"/>
      <c r="F23" s="39"/>
      <c r="G23" s="40" t="e">
        <f>IF(B23*6.29*24/C23/D23&lt;5,VLOOKUP(E23,基础数据!$A$84:$P$102,16,0),VLOOKUP(E23,基础数据!$A$108:$P$126,16,0))</f>
        <v>#DIV/0!</v>
      </c>
      <c r="H23" s="41" t="e">
        <f t="shared" si="0"/>
        <v>#DIV/0!</v>
      </c>
    </row>
  </sheetData>
  <mergeCells count="1">
    <mergeCell ref="A1:H1"/>
  </mergeCells>
  <phoneticPr fontId="1"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基础数据!$A$84:$A$102</xm:f>
          </x14:formula1>
          <xm:sqref>E3:E23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P127"/>
  <sheetViews>
    <sheetView topLeftCell="C23" workbookViewId="0">
      <selection activeCell="H38" sqref="A1:XFD1048576"/>
    </sheetView>
  </sheetViews>
  <sheetFormatPr defaultRowHeight="13.5"/>
  <cols>
    <col min="3" max="3" width="11.125" customWidth="1"/>
    <col min="4" max="4" width="10.875" customWidth="1"/>
    <col min="6" max="8" width="12.25" bestFit="1" customWidth="1"/>
    <col min="11" max="11" width="10.625" customWidth="1"/>
    <col min="12" max="12" width="11" customWidth="1"/>
    <col min="15" max="15" width="12.125" customWidth="1"/>
  </cols>
  <sheetData>
    <row r="1" spans="1:16" ht="37.5" customHeight="1">
      <c r="A1" s="248" t="s">
        <v>14</v>
      </c>
      <c r="B1" s="246" t="s">
        <v>15</v>
      </c>
      <c r="C1" s="246" t="s">
        <v>17</v>
      </c>
      <c r="D1" s="250" t="s">
        <v>108</v>
      </c>
      <c r="E1" s="244" t="s">
        <v>18</v>
      </c>
      <c r="F1" s="244" t="s">
        <v>19</v>
      </c>
      <c r="G1" s="244"/>
      <c r="H1" s="242" t="s">
        <v>20</v>
      </c>
      <c r="I1" s="240" t="s">
        <v>21</v>
      </c>
    </row>
    <row r="2" spans="1:16">
      <c r="A2" s="249"/>
      <c r="B2" s="247"/>
      <c r="C2" s="247"/>
      <c r="D2" s="251"/>
      <c r="E2" s="245"/>
      <c r="F2" s="121">
        <v>10000</v>
      </c>
      <c r="G2" s="120">
        <v>100000</v>
      </c>
      <c r="H2" s="243"/>
      <c r="I2" s="241"/>
    </row>
    <row r="3" spans="1:16">
      <c r="A3" s="228" t="s">
        <v>105</v>
      </c>
      <c r="B3" s="48" t="s">
        <v>118</v>
      </c>
      <c r="C3" s="121" t="s">
        <v>189</v>
      </c>
      <c r="D3" s="121" t="s">
        <v>109</v>
      </c>
      <c r="E3" s="1">
        <v>7.7999999999999999E-6</v>
      </c>
      <c r="F3" s="2">
        <v>6.4000000000000001E-2</v>
      </c>
      <c r="G3" s="2">
        <v>0.14000000000000001</v>
      </c>
      <c r="H3" s="1">
        <v>2.2900000000000001E-6</v>
      </c>
      <c r="I3" s="3">
        <v>0.746</v>
      </c>
    </row>
    <row r="4" spans="1:16">
      <c r="A4" s="229"/>
      <c r="B4" s="48" t="s">
        <v>118</v>
      </c>
      <c r="C4" s="121" t="s">
        <v>185</v>
      </c>
      <c r="D4" s="121" t="s">
        <v>109</v>
      </c>
      <c r="E4" s="1">
        <v>2.4000000000000001E-5</v>
      </c>
      <c r="F4" s="2">
        <v>7.3999999999999996E-2</v>
      </c>
      <c r="G4" s="2">
        <v>0.16</v>
      </c>
      <c r="H4" s="1">
        <v>5.0300000000000003E-5</v>
      </c>
      <c r="I4" s="3">
        <v>0.61</v>
      </c>
      <c r="L4" t="s">
        <v>89</v>
      </c>
    </row>
    <row r="5" spans="1:16">
      <c r="A5" s="229"/>
      <c r="B5" s="48" t="s">
        <v>118</v>
      </c>
      <c r="C5" s="121" t="s">
        <v>261</v>
      </c>
      <c r="D5" s="121" t="s">
        <v>109</v>
      </c>
      <c r="E5" s="1">
        <v>3.9999999999999998E-6</v>
      </c>
      <c r="F5" s="2">
        <v>7.2999999999999995E-2</v>
      </c>
      <c r="G5" s="2">
        <v>0.11</v>
      </c>
      <c r="H5" s="1">
        <v>1.36E-5</v>
      </c>
      <c r="I5" s="3">
        <v>0.58899999999999997</v>
      </c>
      <c r="L5" t="s">
        <v>119</v>
      </c>
      <c r="M5" t="s">
        <v>122</v>
      </c>
      <c r="O5" t="s">
        <v>132</v>
      </c>
      <c r="P5" t="s">
        <v>133</v>
      </c>
    </row>
    <row r="6" spans="1:16">
      <c r="A6" s="229"/>
      <c r="B6" s="48" t="s">
        <v>118</v>
      </c>
      <c r="C6" s="121" t="s">
        <v>98</v>
      </c>
      <c r="D6" s="121" t="s">
        <v>109</v>
      </c>
      <c r="E6" s="1">
        <v>3.9999999999999998E-6</v>
      </c>
      <c r="F6" s="2">
        <v>7.2999999999999995E-2</v>
      </c>
      <c r="G6" s="2">
        <v>0.11</v>
      </c>
      <c r="H6" s="1">
        <v>1.36E-5</v>
      </c>
      <c r="I6" s="3">
        <v>0.58899999999999997</v>
      </c>
      <c r="L6" s="121" t="s">
        <v>188</v>
      </c>
      <c r="M6" s="121" t="s">
        <v>188</v>
      </c>
      <c r="O6" t="s">
        <v>125</v>
      </c>
      <c r="P6" t="s">
        <v>126</v>
      </c>
    </row>
    <row r="7" spans="1:16">
      <c r="A7" s="229"/>
      <c r="B7" s="48" t="s">
        <v>118</v>
      </c>
      <c r="C7" s="121" t="s">
        <v>187</v>
      </c>
      <c r="D7" s="121" t="s">
        <v>109</v>
      </c>
      <c r="E7" s="1">
        <v>3.9999999999999998E-6</v>
      </c>
      <c r="F7" s="2">
        <v>7.2999999999999995E-2</v>
      </c>
      <c r="G7" s="2">
        <v>0.11</v>
      </c>
      <c r="H7" s="1">
        <v>1.36E-5</v>
      </c>
      <c r="I7" s="3">
        <v>0.58899999999999997</v>
      </c>
      <c r="L7" s="121" t="s">
        <v>184</v>
      </c>
      <c r="M7" s="121" t="s">
        <v>184</v>
      </c>
      <c r="O7" t="s">
        <v>127</v>
      </c>
      <c r="P7" t="s">
        <v>128</v>
      </c>
    </row>
    <row r="8" spans="1:16">
      <c r="A8" s="229"/>
      <c r="B8" s="48" t="s">
        <v>118</v>
      </c>
      <c r="C8" s="121" t="s">
        <v>82</v>
      </c>
      <c r="D8" s="121" t="s">
        <v>109</v>
      </c>
      <c r="E8" s="1">
        <v>7.5000000000000002E-6</v>
      </c>
      <c r="F8" s="2">
        <v>2.8000000000000001E-2</v>
      </c>
      <c r="G8" s="2">
        <v>0.03</v>
      </c>
      <c r="H8" s="1">
        <v>1.53E-6</v>
      </c>
      <c r="I8" s="3">
        <v>0.73499999999999999</v>
      </c>
      <c r="L8" s="121" t="s">
        <v>197</v>
      </c>
      <c r="M8" s="121" t="s">
        <v>197</v>
      </c>
      <c r="O8" t="s">
        <v>129</v>
      </c>
      <c r="P8" t="s">
        <v>130</v>
      </c>
    </row>
    <row r="9" spans="1:16">
      <c r="A9" s="229"/>
      <c r="B9" s="48" t="s">
        <v>118</v>
      </c>
      <c r="C9" s="121" t="s">
        <v>22</v>
      </c>
      <c r="D9" s="121" t="s">
        <v>109</v>
      </c>
      <c r="E9" s="1">
        <v>3.1E-7</v>
      </c>
      <c r="F9" s="2">
        <v>8.5000000000000006E-2</v>
      </c>
      <c r="G9" s="2">
        <v>8.4000000000000005E-2</v>
      </c>
      <c r="H9" s="1">
        <v>4.6099999999999999E-6</v>
      </c>
      <c r="I9" s="3">
        <v>0.70299999999999996</v>
      </c>
      <c r="L9" s="56" t="s">
        <v>43</v>
      </c>
      <c r="M9" s="121" t="s">
        <v>43</v>
      </c>
      <c r="O9" t="s">
        <v>131</v>
      </c>
      <c r="P9" t="s">
        <v>137</v>
      </c>
    </row>
    <row r="10" spans="1:16" ht="24">
      <c r="A10" s="229"/>
      <c r="B10" s="48" t="s">
        <v>118</v>
      </c>
      <c r="C10" s="121" t="s">
        <v>191</v>
      </c>
      <c r="D10" s="121" t="s">
        <v>109</v>
      </c>
      <c r="E10" s="1">
        <v>1.9999999999999999E-6</v>
      </c>
      <c r="F10" s="2">
        <v>0.03</v>
      </c>
      <c r="G10" s="2">
        <v>7.9000000000000001E-2</v>
      </c>
      <c r="H10" s="1">
        <v>2.2000000000000001E-6</v>
      </c>
      <c r="I10" s="3">
        <v>0.70399999999999996</v>
      </c>
      <c r="L10" s="56" t="s">
        <v>186</v>
      </c>
      <c r="M10" s="121" t="s">
        <v>186</v>
      </c>
      <c r="P10" t="s">
        <v>136</v>
      </c>
    </row>
    <row r="11" spans="1:16">
      <c r="A11" s="229"/>
      <c r="B11" s="48" t="s">
        <v>118</v>
      </c>
      <c r="C11" s="121" t="s">
        <v>193</v>
      </c>
      <c r="D11" s="121" t="s">
        <v>194</v>
      </c>
      <c r="E11" s="1">
        <v>3.9999999999999998E-6</v>
      </c>
      <c r="F11" s="2">
        <v>7.2999999999999995E-2</v>
      </c>
      <c r="G11" s="2">
        <v>0.11</v>
      </c>
      <c r="H11" s="1">
        <v>1.36E-5</v>
      </c>
      <c r="I11" s="3">
        <v>0.58899999999999997</v>
      </c>
      <c r="L11" s="121" t="s">
        <v>95</v>
      </c>
      <c r="M11" s="121" t="s">
        <v>95</v>
      </c>
    </row>
    <row r="12" spans="1:16">
      <c r="A12" s="229"/>
      <c r="B12" s="48" t="s">
        <v>121</v>
      </c>
      <c r="C12" s="121" t="s">
        <v>196</v>
      </c>
      <c r="D12" s="121" t="s">
        <v>110</v>
      </c>
      <c r="E12" s="1">
        <v>6.6000000000000003E-7</v>
      </c>
      <c r="F12" s="2">
        <v>2.4E-2</v>
      </c>
      <c r="G12" s="2">
        <v>0.11</v>
      </c>
      <c r="H12" s="1">
        <v>1.8700000000000001E-6</v>
      </c>
      <c r="I12" s="3">
        <v>0.873</v>
      </c>
      <c r="L12" s="121" t="s">
        <v>22</v>
      </c>
      <c r="M12" s="121" t="s">
        <v>22</v>
      </c>
    </row>
    <row r="13" spans="1:16" ht="24">
      <c r="A13" s="229"/>
      <c r="B13" s="48" t="s">
        <v>121</v>
      </c>
      <c r="C13" s="121" t="s">
        <v>116</v>
      </c>
      <c r="D13" s="121" t="s">
        <v>111</v>
      </c>
      <c r="E13" s="1">
        <v>4.8999999999999997E-7</v>
      </c>
      <c r="F13" s="2">
        <v>3.5999999999999997E-2</v>
      </c>
      <c r="G13" s="2">
        <v>0.15</v>
      </c>
      <c r="H13" s="1">
        <v>6.4099999999999996E-6</v>
      </c>
      <c r="I13" s="3">
        <v>0.79700000000000004</v>
      </c>
      <c r="L13" s="121" t="s">
        <v>190</v>
      </c>
      <c r="M13" s="121" t="s">
        <v>190</v>
      </c>
    </row>
    <row r="14" spans="1:16">
      <c r="A14" s="229"/>
      <c r="B14" s="48" t="s">
        <v>121</v>
      </c>
      <c r="C14" s="121" t="s">
        <v>97</v>
      </c>
      <c r="D14" s="121" t="s">
        <v>111</v>
      </c>
      <c r="E14" s="1">
        <v>7.5000000000000002E-6</v>
      </c>
      <c r="F14" s="2">
        <v>0.14000000000000001</v>
      </c>
      <c r="G14" s="2">
        <v>0.62</v>
      </c>
      <c r="H14" s="1">
        <v>1.9000000000000001E-5</v>
      </c>
      <c r="I14" s="3">
        <v>0.82399999999999995</v>
      </c>
      <c r="L14" s="121" t="s">
        <v>193</v>
      </c>
      <c r="M14" s="121" t="s">
        <v>192</v>
      </c>
    </row>
    <row r="15" spans="1:16">
      <c r="A15" s="229"/>
      <c r="B15" s="48" t="s">
        <v>121</v>
      </c>
      <c r="C15" s="49" t="s">
        <v>97</v>
      </c>
      <c r="D15" s="49" t="s">
        <v>112</v>
      </c>
      <c r="E15" s="1">
        <v>7.5000000000000002E-6</v>
      </c>
      <c r="F15" s="2">
        <v>0.14000000000000001</v>
      </c>
      <c r="G15" s="2">
        <v>0.62</v>
      </c>
      <c r="H15" s="1">
        <v>1.9000000000000001E-5</v>
      </c>
      <c r="I15" s="3">
        <v>0.82399999999999995</v>
      </c>
    </row>
    <row r="16" spans="1:16">
      <c r="A16" s="229"/>
      <c r="B16" s="48" t="s">
        <v>121</v>
      </c>
      <c r="C16" s="121" t="s">
        <v>261</v>
      </c>
      <c r="D16" s="121" t="s">
        <v>109</v>
      </c>
      <c r="E16" s="1">
        <v>7.5000000000000002E-6</v>
      </c>
      <c r="F16" s="2">
        <v>0.14000000000000001</v>
      </c>
      <c r="G16" s="2">
        <v>0.62</v>
      </c>
      <c r="H16" s="1">
        <v>1.9000000000000001E-5</v>
      </c>
      <c r="I16" s="3">
        <v>0.82399999999999995</v>
      </c>
    </row>
    <row r="17" spans="1:14">
      <c r="A17" s="229"/>
      <c r="B17" s="48" t="s">
        <v>121</v>
      </c>
      <c r="C17" s="121" t="s">
        <v>98</v>
      </c>
      <c r="D17" s="121" t="s">
        <v>109</v>
      </c>
      <c r="E17" s="1">
        <v>7.5000000000000002E-6</v>
      </c>
      <c r="F17" s="2">
        <v>0.14000000000000001</v>
      </c>
      <c r="G17" s="2">
        <v>0.62</v>
      </c>
      <c r="H17" s="1">
        <v>1.9000000000000001E-5</v>
      </c>
      <c r="I17" s="3">
        <v>0.82399999999999995</v>
      </c>
    </row>
    <row r="18" spans="1:14">
      <c r="A18" s="229"/>
      <c r="B18" s="48" t="s">
        <v>121</v>
      </c>
      <c r="C18" s="121" t="s">
        <v>187</v>
      </c>
      <c r="D18" s="121" t="s">
        <v>109</v>
      </c>
      <c r="E18" s="1">
        <v>7.5000000000000002E-6</v>
      </c>
      <c r="F18" s="2">
        <v>0.14000000000000001</v>
      </c>
      <c r="G18" s="2">
        <v>0.62</v>
      </c>
      <c r="H18" s="1">
        <v>1.9000000000000001E-5</v>
      </c>
      <c r="I18" s="3">
        <v>0.82399999999999995</v>
      </c>
    </row>
    <row r="19" spans="1:14" ht="14.25" thickBot="1">
      <c r="A19" s="229"/>
      <c r="B19" s="50" t="s">
        <v>121</v>
      </c>
      <c r="C19" s="4" t="s">
        <v>195</v>
      </c>
      <c r="D19" s="4" t="s">
        <v>109</v>
      </c>
      <c r="E19" s="5">
        <v>6.0999999999999998E-7</v>
      </c>
      <c r="F19" s="6">
        <v>4.3999999999999997E-2</v>
      </c>
      <c r="G19" s="6">
        <v>0.22</v>
      </c>
      <c r="H19" s="5">
        <v>3.05E-6</v>
      </c>
      <c r="I19" s="7">
        <v>0.88500000000000001</v>
      </c>
    </row>
    <row r="20" spans="1:14" ht="14.25" thickBot="1">
      <c r="A20" s="229"/>
      <c r="B20" s="50" t="s">
        <v>121</v>
      </c>
      <c r="C20" s="4" t="s">
        <v>83</v>
      </c>
      <c r="D20" s="4" t="s">
        <v>109</v>
      </c>
      <c r="E20" s="5">
        <v>6.0999999999999998E-7</v>
      </c>
      <c r="F20" s="6">
        <v>4.3999999999999997E-2</v>
      </c>
      <c r="G20" s="6">
        <v>0.22</v>
      </c>
      <c r="H20" s="5">
        <v>3.05E-6</v>
      </c>
      <c r="I20" s="7">
        <v>0.88500000000000001</v>
      </c>
    </row>
    <row r="21" spans="1:14" ht="24.75" thickBot="1">
      <c r="A21" s="229"/>
      <c r="B21" s="50" t="s">
        <v>121</v>
      </c>
      <c r="C21" s="121" t="s">
        <v>191</v>
      </c>
      <c r="D21" s="121" t="s">
        <v>109</v>
      </c>
      <c r="E21" s="1">
        <v>1.9999999999999999E-6</v>
      </c>
      <c r="F21" s="2">
        <v>0.03</v>
      </c>
      <c r="G21" s="2">
        <v>7.9000000000000001E-2</v>
      </c>
      <c r="H21" s="1">
        <v>2.2000000000000001E-6</v>
      </c>
      <c r="I21" s="3">
        <v>0.70399999999999996</v>
      </c>
    </row>
    <row r="22" spans="1:14" ht="14.25" thickBot="1">
      <c r="A22" s="230"/>
      <c r="B22" s="50" t="s">
        <v>121</v>
      </c>
      <c r="C22" s="121" t="s">
        <v>193</v>
      </c>
      <c r="D22" s="121" t="s">
        <v>194</v>
      </c>
      <c r="E22" s="1">
        <v>3.9999999999999998E-6</v>
      </c>
      <c r="F22" s="2">
        <v>7.2999999999999995E-2</v>
      </c>
      <c r="G22" s="2">
        <v>0.11</v>
      </c>
      <c r="H22" s="1">
        <v>1.36E-5</v>
      </c>
      <c r="I22" s="3">
        <v>0.58899999999999997</v>
      </c>
    </row>
    <row r="24" spans="1:14" ht="15.75">
      <c r="A24" s="51" t="s">
        <v>107</v>
      </c>
    </row>
    <row r="25" spans="1:14">
      <c r="A25" t="s">
        <v>120</v>
      </c>
    </row>
    <row r="26" spans="1:14" ht="14.25" thickBot="1"/>
    <row r="27" spans="1:14">
      <c r="A27" s="8" t="s">
        <v>41</v>
      </c>
      <c r="B27" s="9" t="s">
        <v>23</v>
      </c>
      <c r="C27" s="10" t="s">
        <v>24</v>
      </c>
      <c r="D27" s="9" t="s">
        <v>28</v>
      </c>
      <c r="E27" s="9" t="s">
        <v>26</v>
      </c>
      <c r="F27" s="9" t="s">
        <v>25</v>
      </c>
      <c r="G27" s="11" t="s">
        <v>35</v>
      </c>
      <c r="J27" s="44" t="s">
        <v>91</v>
      </c>
    </row>
    <row r="28" spans="1:14">
      <c r="A28" s="231" t="s">
        <v>104</v>
      </c>
      <c r="B28" s="45" t="s">
        <v>118</v>
      </c>
      <c r="C28" s="42" t="s">
        <v>209</v>
      </c>
      <c r="D28" s="43" t="s">
        <v>30</v>
      </c>
      <c r="E28" s="12">
        <v>5.9999999999999995E-4</v>
      </c>
      <c r="F28" s="12">
        <v>0.2626</v>
      </c>
      <c r="G28" s="238" t="s">
        <v>36</v>
      </c>
      <c r="K28" s="42" t="s">
        <v>189</v>
      </c>
      <c r="L28" s="43" t="s">
        <v>30</v>
      </c>
      <c r="M28" s="43" t="s">
        <v>8</v>
      </c>
      <c r="N28" s="43" t="s">
        <v>31</v>
      </c>
    </row>
    <row r="29" spans="1:14">
      <c r="A29" s="232"/>
      <c r="B29" s="45" t="s">
        <v>118</v>
      </c>
      <c r="C29" s="42" t="s">
        <v>209</v>
      </c>
      <c r="D29" s="43" t="s">
        <v>8</v>
      </c>
      <c r="E29" s="12">
        <v>1.6999999999999999E-3</v>
      </c>
      <c r="F29" s="12">
        <v>8.5199999999999998E-2</v>
      </c>
      <c r="G29" s="238"/>
      <c r="K29" s="42" t="s">
        <v>185</v>
      </c>
      <c r="L29" s="43" t="s">
        <v>8</v>
      </c>
      <c r="M29" s="43" t="s">
        <v>31</v>
      </c>
    </row>
    <row r="30" spans="1:14">
      <c r="A30" s="232"/>
      <c r="B30" s="45" t="s">
        <v>118</v>
      </c>
      <c r="C30" s="42" t="s">
        <v>209</v>
      </c>
      <c r="D30" s="43" t="s">
        <v>31</v>
      </c>
      <c r="E30" s="12">
        <v>2.3000000000000001E-4</v>
      </c>
      <c r="F30" s="12">
        <v>2.3000000000000001E-4</v>
      </c>
      <c r="G30" s="238"/>
      <c r="K30" s="43" t="s">
        <v>203</v>
      </c>
      <c r="L30" s="43" t="s">
        <v>8</v>
      </c>
      <c r="M30" s="43" t="s">
        <v>31</v>
      </c>
    </row>
    <row r="31" spans="1:14">
      <c r="A31" s="232"/>
      <c r="B31" s="45" t="s">
        <v>118</v>
      </c>
      <c r="C31" s="42" t="s">
        <v>185</v>
      </c>
      <c r="D31" s="43" t="s">
        <v>8</v>
      </c>
      <c r="E31" s="12">
        <v>1.2E-2</v>
      </c>
      <c r="F31" s="12">
        <v>0.437</v>
      </c>
      <c r="G31" s="238"/>
      <c r="K31" s="43" t="s">
        <v>204</v>
      </c>
      <c r="L31" s="43" t="s">
        <v>92</v>
      </c>
    </row>
    <row r="32" spans="1:14">
      <c r="A32" s="232"/>
      <c r="B32" s="45" t="s">
        <v>118</v>
      </c>
      <c r="C32" s="42" t="s">
        <v>185</v>
      </c>
      <c r="D32" s="43" t="s">
        <v>31</v>
      </c>
      <c r="E32" s="12">
        <v>1.35E-2</v>
      </c>
      <c r="F32" s="12">
        <v>0.38850000000000001</v>
      </c>
      <c r="G32" s="238"/>
      <c r="K32" s="43" t="s">
        <v>200</v>
      </c>
      <c r="L32" s="43" t="s">
        <v>92</v>
      </c>
    </row>
    <row r="33" spans="1:12">
      <c r="A33" s="232"/>
      <c r="B33" s="45" t="s">
        <v>118</v>
      </c>
      <c r="C33" s="121" t="s">
        <v>261</v>
      </c>
      <c r="D33" s="43" t="s">
        <v>8</v>
      </c>
      <c r="E33" s="12">
        <v>1.2E-2</v>
      </c>
      <c r="F33" s="12">
        <v>0.437</v>
      </c>
      <c r="G33" s="238"/>
      <c r="K33" s="88" t="s">
        <v>205</v>
      </c>
      <c r="L33" s="43" t="s">
        <v>33</v>
      </c>
    </row>
    <row r="34" spans="1:12">
      <c r="A34" s="232"/>
      <c r="B34" s="45" t="s">
        <v>118</v>
      </c>
      <c r="C34" s="121" t="s">
        <v>261</v>
      </c>
      <c r="D34" s="43" t="s">
        <v>31</v>
      </c>
      <c r="E34" s="12">
        <v>1.35E-2</v>
      </c>
      <c r="F34" s="12">
        <v>0.38850000000000001</v>
      </c>
      <c r="G34" s="238"/>
      <c r="K34" s="43" t="s">
        <v>82</v>
      </c>
      <c r="L34" s="43" t="s">
        <v>33</v>
      </c>
    </row>
    <row r="35" spans="1:12" ht="22.5">
      <c r="A35" s="232"/>
      <c r="B35" s="45" t="s">
        <v>118</v>
      </c>
      <c r="C35" s="43" t="s">
        <v>199</v>
      </c>
      <c r="D35" s="43" t="s">
        <v>33</v>
      </c>
      <c r="E35" s="12">
        <v>8.9399999999999993E-2</v>
      </c>
      <c r="F35" s="12">
        <v>1.6080000000000001</v>
      </c>
      <c r="G35" s="238"/>
      <c r="K35" s="43" t="s">
        <v>224</v>
      </c>
      <c r="L35" s="43" t="s">
        <v>33</v>
      </c>
    </row>
    <row r="36" spans="1:12">
      <c r="A36" s="232"/>
      <c r="B36" s="45" t="s">
        <v>118</v>
      </c>
      <c r="C36" s="43" t="s">
        <v>200</v>
      </c>
      <c r="D36" s="43" t="s">
        <v>33</v>
      </c>
      <c r="E36" s="12">
        <v>4.4699999999999997E-2</v>
      </c>
      <c r="F36" s="12">
        <v>1.6910000000000001</v>
      </c>
      <c r="G36" s="238"/>
      <c r="K36" s="43" t="s">
        <v>206</v>
      </c>
      <c r="L36" s="43" t="s">
        <v>33</v>
      </c>
    </row>
    <row r="37" spans="1:12">
      <c r="A37" s="232"/>
      <c r="B37" s="45" t="s">
        <v>118</v>
      </c>
      <c r="C37" s="43" t="s">
        <v>195</v>
      </c>
      <c r="D37" s="43" t="s">
        <v>33</v>
      </c>
      <c r="E37" s="12">
        <v>6.0000000000000002E-5</v>
      </c>
      <c r="F37" s="12">
        <v>3.7499999999999999E-2</v>
      </c>
      <c r="G37" s="238"/>
    </row>
    <row r="38" spans="1:12">
      <c r="A38" s="232"/>
      <c r="B38" s="45" t="s">
        <v>118</v>
      </c>
      <c r="C38" s="43" t="s">
        <v>84</v>
      </c>
      <c r="D38" s="43" t="s">
        <v>33</v>
      </c>
      <c r="E38" s="12">
        <v>6.0000000000000002E-5</v>
      </c>
      <c r="F38" s="12">
        <v>3.7499999999999999E-2</v>
      </c>
      <c r="G38" s="238"/>
    </row>
    <row r="39" spans="1:12" ht="22.5">
      <c r="A39" s="232"/>
      <c r="B39" s="45" t="s">
        <v>118</v>
      </c>
      <c r="C39" s="43" t="s">
        <v>224</v>
      </c>
      <c r="D39" s="43" t="s">
        <v>33</v>
      </c>
      <c r="E39" s="12">
        <v>1.5E-3</v>
      </c>
      <c r="F39" s="12">
        <v>1.1950000000000001E-2</v>
      </c>
      <c r="G39" s="238"/>
    </row>
    <row r="40" spans="1:12">
      <c r="A40" s="232"/>
      <c r="B40" s="45" t="s">
        <v>121</v>
      </c>
      <c r="C40" s="42" t="s">
        <v>209</v>
      </c>
      <c r="D40" s="43" t="s">
        <v>30</v>
      </c>
      <c r="E40" s="12">
        <v>1.3100000000000001E-4</v>
      </c>
      <c r="F40" s="12">
        <v>7.8200000000000006E-2</v>
      </c>
      <c r="G40" s="238" t="s">
        <v>37</v>
      </c>
    </row>
    <row r="41" spans="1:12">
      <c r="A41" s="232"/>
      <c r="B41" s="45" t="s">
        <v>121</v>
      </c>
      <c r="C41" s="42" t="s">
        <v>209</v>
      </c>
      <c r="D41" s="43" t="s">
        <v>8</v>
      </c>
      <c r="E41" s="12">
        <v>1.65E-4</v>
      </c>
      <c r="F41" s="12">
        <v>8.9200000000000002E-2</v>
      </c>
      <c r="G41" s="238"/>
    </row>
    <row r="42" spans="1:12">
      <c r="A42" s="232"/>
      <c r="B42" s="45" t="s">
        <v>121</v>
      </c>
      <c r="C42" s="42" t="s">
        <v>209</v>
      </c>
      <c r="D42" s="43" t="s">
        <v>31</v>
      </c>
      <c r="E42" s="12">
        <v>2.3000000000000001E-4</v>
      </c>
      <c r="F42" s="12">
        <v>2.3000000000000001E-4</v>
      </c>
      <c r="G42" s="238"/>
    </row>
    <row r="43" spans="1:12">
      <c r="A43" s="232"/>
      <c r="B43" s="45" t="s">
        <v>121</v>
      </c>
      <c r="C43" s="42" t="s">
        <v>185</v>
      </c>
      <c r="D43" s="43" t="s">
        <v>8</v>
      </c>
      <c r="E43" s="12">
        <v>1.8699999999999999E-3</v>
      </c>
      <c r="F43" s="12">
        <v>0.24299999999999999</v>
      </c>
      <c r="G43" s="238"/>
    </row>
    <row r="44" spans="1:12">
      <c r="A44" s="232"/>
      <c r="B44" s="45" t="s">
        <v>121</v>
      </c>
      <c r="C44" s="42" t="s">
        <v>185</v>
      </c>
      <c r="D44" s="43" t="s">
        <v>31</v>
      </c>
      <c r="E44" s="12">
        <v>2.1000000000000001E-2</v>
      </c>
      <c r="F44" s="12">
        <v>0.216</v>
      </c>
      <c r="G44" s="238"/>
    </row>
    <row r="45" spans="1:12">
      <c r="A45" s="232"/>
      <c r="B45" s="45" t="s">
        <v>121</v>
      </c>
      <c r="C45" s="121" t="s">
        <v>261</v>
      </c>
      <c r="D45" s="43" t="s">
        <v>8</v>
      </c>
      <c r="E45" s="12">
        <v>1.8699999999999999E-3</v>
      </c>
      <c r="F45" s="12">
        <v>0.24299999999999999</v>
      </c>
      <c r="G45" s="238"/>
    </row>
    <row r="46" spans="1:12">
      <c r="A46" s="232"/>
      <c r="B46" s="45" t="s">
        <v>121</v>
      </c>
      <c r="C46" s="121" t="s">
        <v>261</v>
      </c>
      <c r="D46" s="43" t="s">
        <v>31</v>
      </c>
      <c r="E46" s="12">
        <v>2.1000000000000001E-2</v>
      </c>
      <c r="F46" s="12">
        <v>0.216</v>
      </c>
      <c r="G46" s="238"/>
    </row>
    <row r="47" spans="1:12">
      <c r="A47" s="232"/>
      <c r="B47" s="45" t="s">
        <v>121</v>
      </c>
      <c r="C47" s="43" t="s">
        <v>199</v>
      </c>
      <c r="D47" s="43" t="s">
        <v>33</v>
      </c>
      <c r="E47" s="12">
        <v>8.9399999999999993E-2</v>
      </c>
      <c r="F47" s="12">
        <v>1.6080000000000001</v>
      </c>
      <c r="G47" s="238"/>
    </row>
    <row r="48" spans="1:12">
      <c r="A48" s="232"/>
      <c r="B48" s="45" t="s">
        <v>121</v>
      </c>
      <c r="C48" s="43" t="s">
        <v>200</v>
      </c>
      <c r="D48" s="43" t="s">
        <v>33</v>
      </c>
      <c r="E48" s="12">
        <v>4.4699999999999997E-2</v>
      </c>
      <c r="F48" s="12">
        <v>1.6910000000000001</v>
      </c>
      <c r="G48" s="238"/>
    </row>
    <row r="49" spans="1:11">
      <c r="A49" s="232"/>
      <c r="B49" s="45" t="s">
        <v>121</v>
      </c>
      <c r="C49" s="43" t="s">
        <v>195</v>
      </c>
      <c r="D49" s="43" t="s">
        <v>33</v>
      </c>
      <c r="E49" s="12">
        <v>8.1000000000000004E-5</v>
      </c>
      <c r="F49" s="12">
        <v>0.113</v>
      </c>
      <c r="G49" s="238"/>
    </row>
    <row r="50" spans="1:11">
      <c r="A50" s="232"/>
      <c r="B50" s="45" t="s">
        <v>121</v>
      </c>
      <c r="C50" s="43" t="s">
        <v>82</v>
      </c>
      <c r="D50" s="43" t="s">
        <v>33</v>
      </c>
      <c r="E50" s="12">
        <v>8.1000000000000004E-5</v>
      </c>
      <c r="F50" s="12">
        <v>0.113</v>
      </c>
      <c r="G50" s="238"/>
    </row>
    <row r="51" spans="1:11" ht="23.25" thickBot="1">
      <c r="A51" s="233"/>
      <c r="B51" s="45" t="s">
        <v>121</v>
      </c>
      <c r="C51" s="43" t="s">
        <v>224</v>
      </c>
      <c r="D51" s="13" t="s">
        <v>33</v>
      </c>
      <c r="E51" s="14">
        <v>1.5E-3</v>
      </c>
      <c r="F51" s="14">
        <v>1.1950000000000001E-2</v>
      </c>
      <c r="G51" s="239"/>
    </row>
    <row r="52" spans="1:11" ht="14.25" thickBot="1"/>
    <row r="53" spans="1:11" ht="36.75">
      <c r="A53" s="124" t="s">
        <v>91</v>
      </c>
      <c r="B53" s="122" t="s">
        <v>40</v>
      </c>
      <c r="C53" s="16" t="s">
        <v>16</v>
      </c>
      <c r="D53" s="16" t="s">
        <v>27</v>
      </c>
      <c r="E53" s="16" t="s">
        <v>38</v>
      </c>
      <c r="F53" s="17"/>
      <c r="H53" s="25" t="s">
        <v>90</v>
      </c>
    </row>
    <row r="54" spans="1:11">
      <c r="A54" s="228" t="s">
        <v>103</v>
      </c>
      <c r="B54" s="123" t="s">
        <v>118</v>
      </c>
      <c r="C54" s="42" t="s">
        <v>209</v>
      </c>
      <c r="D54" s="43" t="s">
        <v>30</v>
      </c>
      <c r="E54" s="12">
        <v>2.6800000000000001E-2</v>
      </c>
      <c r="F54" s="234" t="s">
        <v>36</v>
      </c>
      <c r="H54" s="42" t="s">
        <v>209</v>
      </c>
      <c r="I54" s="43" t="s">
        <v>30</v>
      </c>
      <c r="J54" s="43" t="s">
        <v>8</v>
      </c>
      <c r="K54" s="43" t="s">
        <v>31</v>
      </c>
    </row>
    <row r="55" spans="1:11">
      <c r="A55" s="229"/>
      <c r="B55" s="123" t="s">
        <v>118</v>
      </c>
      <c r="C55" s="42" t="s">
        <v>209</v>
      </c>
      <c r="D55" s="43" t="s">
        <v>8</v>
      </c>
      <c r="E55" s="12">
        <v>1.09E-2</v>
      </c>
      <c r="F55" s="235"/>
      <c r="H55" s="42" t="s">
        <v>185</v>
      </c>
      <c r="I55" s="43" t="s">
        <v>8</v>
      </c>
      <c r="J55" s="43" t="s">
        <v>31</v>
      </c>
    </row>
    <row r="56" spans="1:11">
      <c r="A56" s="229"/>
      <c r="B56" s="123" t="s">
        <v>118</v>
      </c>
      <c r="C56" s="42" t="s">
        <v>209</v>
      </c>
      <c r="D56" s="43" t="s">
        <v>31</v>
      </c>
      <c r="E56" s="12">
        <v>2.3000000000000001E-4</v>
      </c>
      <c r="F56" s="235"/>
      <c r="H56" s="43" t="s">
        <v>198</v>
      </c>
      <c r="I56" s="43" t="s">
        <v>8</v>
      </c>
    </row>
    <row r="57" spans="1:11">
      <c r="A57" s="229"/>
      <c r="B57" s="123" t="s">
        <v>118</v>
      </c>
      <c r="C57" s="42" t="s">
        <v>185</v>
      </c>
      <c r="D57" s="43" t="s">
        <v>8</v>
      </c>
      <c r="E57" s="12">
        <v>0.114</v>
      </c>
      <c r="F57" s="235"/>
      <c r="H57" s="43" t="s">
        <v>199</v>
      </c>
      <c r="I57" s="43" t="s">
        <v>30</v>
      </c>
    </row>
    <row r="58" spans="1:11">
      <c r="A58" s="229"/>
      <c r="B58" s="123" t="s">
        <v>118</v>
      </c>
      <c r="C58" s="42" t="s">
        <v>185</v>
      </c>
      <c r="D58" s="43" t="s">
        <v>31</v>
      </c>
      <c r="E58" s="12">
        <v>2.1000000000000001E-2</v>
      </c>
      <c r="F58" s="235"/>
      <c r="H58" s="43" t="s">
        <v>200</v>
      </c>
      <c r="I58" s="43" t="s">
        <v>30</v>
      </c>
    </row>
    <row r="59" spans="1:11">
      <c r="A59" s="229"/>
      <c r="B59" s="123" t="s">
        <v>118</v>
      </c>
      <c r="C59" s="43" t="s">
        <v>198</v>
      </c>
      <c r="D59" s="43" t="s">
        <v>8</v>
      </c>
      <c r="E59" s="12">
        <v>0.114</v>
      </c>
      <c r="F59" s="235"/>
      <c r="H59" s="88" t="s">
        <v>202</v>
      </c>
      <c r="I59" s="88" t="s">
        <v>194</v>
      </c>
    </row>
    <row r="60" spans="1:11">
      <c r="A60" s="229"/>
      <c r="B60" s="123" t="s">
        <v>118</v>
      </c>
      <c r="C60" s="43" t="s">
        <v>199</v>
      </c>
      <c r="D60" s="43" t="s">
        <v>30</v>
      </c>
      <c r="E60" s="12">
        <v>0.63600000000000001</v>
      </c>
      <c r="F60" s="235"/>
      <c r="H60" s="43" t="s">
        <v>84</v>
      </c>
      <c r="I60" s="43" t="s">
        <v>33</v>
      </c>
    </row>
    <row r="61" spans="1:11" ht="22.5">
      <c r="A61" s="229"/>
      <c r="B61" s="123" t="s">
        <v>118</v>
      </c>
      <c r="C61" s="43" t="s">
        <v>200</v>
      </c>
      <c r="D61" s="43" t="s">
        <v>30</v>
      </c>
      <c r="E61" s="12">
        <v>0.16</v>
      </c>
      <c r="F61" s="235"/>
      <c r="H61" s="43" t="s">
        <v>224</v>
      </c>
      <c r="I61" s="43" t="s">
        <v>33</v>
      </c>
    </row>
    <row r="62" spans="1:11">
      <c r="A62" s="229"/>
      <c r="B62" s="123" t="s">
        <v>118</v>
      </c>
      <c r="C62" s="43" t="s">
        <v>195</v>
      </c>
      <c r="D62" s="43" t="s">
        <v>33</v>
      </c>
      <c r="E62" s="12">
        <v>2.5000000000000001E-4</v>
      </c>
      <c r="F62" s="235"/>
      <c r="H62" s="43" t="s">
        <v>201</v>
      </c>
      <c r="I62" s="43" t="s">
        <v>33</v>
      </c>
    </row>
    <row r="63" spans="1:11">
      <c r="A63" s="229"/>
      <c r="B63" s="123" t="s">
        <v>118</v>
      </c>
      <c r="C63" s="43" t="s">
        <v>84</v>
      </c>
      <c r="D63" s="43" t="s">
        <v>33</v>
      </c>
      <c r="E63" s="12">
        <v>2.5000000000000001E-4</v>
      </c>
      <c r="F63" s="235"/>
      <c r="H63" s="43" t="s">
        <v>207</v>
      </c>
      <c r="I63" s="43" t="s">
        <v>33</v>
      </c>
    </row>
    <row r="64" spans="1:11" ht="22.5">
      <c r="A64" s="229"/>
      <c r="B64" s="123" t="s">
        <v>118</v>
      </c>
      <c r="C64" s="43" t="s">
        <v>224</v>
      </c>
      <c r="D64" s="43" t="s">
        <v>33</v>
      </c>
      <c r="E64" s="12">
        <v>2.3E-3</v>
      </c>
      <c r="F64" s="235"/>
    </row>
    <row r="65" spans="1:6" ht="13.5" customHeight="1">
      <c r="A65" s="229"/>
      <c r="B65" s="123" t="s">
        <v>118</v>
      </c>
      <c r="C65" s="43" t="s">
        <v>201</v>
      </c>
      <c r="D65" s="43" t="s">
        <v>33</v>
      </c>
      <c r="E65" s="12">
        <v>1.4999999999999999E-2</v>
      </c>
      <c r="F65" s="237"/>
    </row>
    <row r="66" spans="1:6" ht="13.5" customHeight="1">
      <c r="A66" s="229"/>
      <c r="B66" s="123" t="s">
        <v>118</v>
      </c>
      <c r="C66" s="43" t="s">
        <v>193</v>
      </c>
      <c r="D66" s="43" t="s">
        <v>33</v>
      </c>
      <c r="E66" s="12">
        <v>2.5000000000000001E-4</v>
      </c>
      <c r="F66" s="119"/>
    </row>
    <row r="67" spans="1:6" ht="13.5" customHeight="1">
      <c r="A67" s="229"/>
      <c r="B67" s="123" t="s">
        <v>121</v>
      </c>
      <c r="C67" s="42" t="s">
        <v>209</v>
      </c>
      <c r="D67" s="43" t="s">
        <v>30</v>
      </c>
      <c r="E67" s="12">
        <v>5.9699999999999996E-3</v>
      </c>
      <c r="F67" s="234" t="s">
        <v>37</v>
      </c>
    </row>
    <row r="68" spans="1:6">
      <c r="A68" s="229"/>
      <c r="B68" s="123" t="s">
        <v>121</v>
      </c>
      <c r="C68" s="42" t="s">
        <v>209</v>
      </c>
      <c r="D68" s="43" t="s">
        <v>8</v>
      </c>
      <c r="E68" s="12">
        <v>4.0299999999999997E-3</v>
      </c>
      <c r="F68" s="235"/>
    </row>
    <row r="69" spans="1:6">
      <c r="A69" s="229"/>
      <c r="B69" s="123" t="s">
        <v>121</v>
      </c>
      <c r="C69" s="42" t="s">
        <v>209</v>
      </c>
      <c r="D69" s="43" t="s">
        <v>31</v>
      </c>
      <c r="E69" s="12">
        <v>2.3000000000000001E-4</v>
      </c>
      <c r="F69" s="235"/>
    </row>
    <row r="70" spans="1:6">
      <c r="A70" s="229"/>
      <c r="B70" s="123" t="s">
        <v>121</v>
      </c>
      <c r="C70" s="42" t="s">
        <v>185</v>
      </c>
      <c r="D70" s="43" t="s">
        <v>8</v>
      </c>
      <c r="E70" s="12">
        <v>1.9900000000000001E-2</v>
      </c>
      <c r="F70" s="235"/>
    </row>
    <row r="71" spans="1:6">
      <c r="A71" s="229"/>
      <c r="B71" s="123" t="s">
        <v>121</v>
      </c>
      <c r="C71" s="42" t="s">
        <v>185</v>
      </c>
      <c r="D71" s="43" t="s">
        <v>31</v>
      </c>
      <c r="E71" s="12">
        <v>8.6199999999999992E-3</v>
      </c>
      <c r="F71" s="235"/>
    </row>
    <row r="72" spans="1:6">
      <c r="A72" s="229"/>
      <c r="B72" s="123" t="s">
        <v>121</v>
      </c>
      <c r="C72" s="43" t="s">
        <v>198</v>
      </c>
      <c r="D72" s="43" t="s">
        <v>8</v>
      </c>
      <c r="E72" s="12">
        <v>1.9900000000000001E-2</v>
      </c>
      <c r="F72" s="235"/>
    </row>
    <row r="73" spans="1:6">
      <c r="A73" s="229"/>
      <c r="B73" s="123" t="s">
        <v>121</v>
      </c>
      <c r="C73" s="43" t="s">
        <v>199</v>
      </c>
      <c r="D73" s="43" t="s">
        <v>30</v>
      </c>
      <c r="E73" s="12">
        <v>0.22800000000000001</v>
      </c>
      <c r="F73" s="235"/>
    </row>
    <row r="74" spans="1:6">
      <c r="A74" s="229"/>
      <c r="B74" s="123" t="s">
        <v>121</v>
      </c>
      <c r="C74" s="43" t="s">
        <v>200</v>
      </c>
      <c r="D74" s="43" t="s">
        <v>30</v>
      </c>
      <c r="E74" s="12">
        <v>0.104</v>
      </c>
      <c r="F74" s="235"/>
    </row>
    <row r="75" spans="1:6">
      <c r="A75" s="229"/>
      <c r="B75" s="123" t="s">
        <v>121</v>
      </c>
      <c r="C75" s="43" t="s">
        <v>195</v>
      </c>
      <c r="D75" s="43" t="s">
        <v>33</v>
      </c>
      <c r="E75" s="12">
        <v>1.83E-3</v>
      </c>
      <c r="F75" s="235"/>
    </row>
    <row r="76" spans="1:6">
      <c r="A76" s="229"/>
      <c r="B76" s="123" t="s">
        <v>121</v>
      </c>
      <c r="C76" s="43" t="s">
        <v>84</v>
      </c>
      <c r="D76" s="43" t="s">
        <v>33</v>
      </c>
      <c r="E76" s="12">
        <v>1.83E-3</v>
      </c>
      <c r="F76" s="235"/>
    </row>
    <row r="77" spans="1:6" ht="22.5">
      <c r="A77" s="229"/>
      <c r="B77" s="123" t="s">
        <v>121</v>
      </c>
      <c r="C77" s="43" t="s">
        <v>224</v>
      </c>
      <c r="D77" s="43" t="s">
        <v>33</v>
      </c>
      <c r="E77" s="12">
        <v>1.6999999999999999E-3</v>
      </c>
      <c r="F77" s="235"/>
    </row>
    <row r="78" spans="1:6" ht="14.25" thickBot="1">
      <c r="A78" s="229"/>
      <c r="B78" s="123" t="s">
        <v>121</v>
      </c>
      <c r="C78" s="43" t="s">
        <v>201</v>
      </c>
      <c r="D78" s="13" t="s">
        <v>33</v>
      </c>
      <c r="E78" s="14">
        <v>1.4999999999999999E-2</v>
      </c>
      <c r="F78" s="235"/>
    </row>
    <row r="79" spans="1:6" ht="14.25" thickBot="1">
      <c r="A79" s="230"/>
      <c r="B79" s="123" t="s">
        <v>121</v>
      </c>
      <c r="C79" s="43" t="s">
        <v>208</v>
      </c>
      <c r="D79" s="13" t="s">
        <v>33</v>
      </c>
      <c r="E79" s="12">
        <v>1.83E-3</v>
      </c>
      <c r="F79" s="236"/>
    </row>
    <row r="81" spans="1:16" ht="14.25" thickBot="1">
      <c r="A81" s="15" t="s">
        <v>66</v>
      </c>
      <c r="B81" s="15"/>
      <c r="C81">
        <f>$B103*$E$54+$C103*$E$55+$D103*$E$56+$E103*$E$57+$F103*$E$58+$G103*$E$60+$H103*$E$61+SUM($K103:$M103)*$E$63+$N103*$E$64+$O103*$E$65</f>
        <v>225.46290999999999</v>
      </c>
      <c r="D81" s="15"/>
      <c r="E81" s="15"/>
      <c r="F81" s="15"/>
      <c r="G81" s="15"/>
      <c r="H81" s="15"/>
      <c r="I81" s="15"/>
      <c r="J81" s="15"/>
      <c r="K81" s="15"/>
      <c r="L81" s="15"/>
      <c r="M81" s="15"/>
      <c r="N81" s="15"/>
      <c r="O81" s="15"/>
    </row>
    <row r="82" spans="1:16">
      <c r="A82" s="226" t="s">
        <v>42</v>
      </c>
      <c r="B82" s="222" t="s">
        <v>87</v>
      </c>
      <c r="C82" s="222"/>
      <c r="D82" s="222"/>
      <c r="E82" s="222" t="s">
        <v>85</v>
      </c>
      <c r="F82" s="222"/>
      <c r="G82" s="222" t="s">
        <v>43</v>
      </c>
      <c r="H82" s="222" t="s">
        <v>13</v>
      </c>
      <c r="I82" s="222"/>
      <c r="J82" s="222"/>
      <c r="K82" s="222" t="s">
        <v>22</v>
      </c>
      <c r="L82" s="222"/>
      <c r="M82" s="222"/>
      <c r="N82" s="222" t="s">
        <v>34</v>
      </c>
      <c r="O82" s="224" t="s">
        <v>39</v>
      </c>
      <c r="P82" s="221" t="s">
        <v>78</v>
      </c>
    </row>
    <row r="83" spans="1:16">
      <c r="A83" s="227"/>
      <c r="B83" s="117" t="s">
        <v>30</v>
      </c>
      <c r="C83" s="117" t="s">
        <v>8</v>
      </c>
      <c r="D83" s="117" t="s">
        <v>31</v>
      </c>
      <c r="E83" s="117" t="s">
        <v>8</v>
      </c>
      <c r="F83" s="117" t="s">
        <v>31</v>
      </c>
      <c r="G83" s="223"/>
      <c r="H83" s="117" t="s">
        <v>30</v>
      </c>
      <c r="I83" s="117" t="s">
        <v>44</v>
      </c>
      <c r="J83" s="117" t="s">
        <v>45</v>
      </c>
      <c r="K83" s="117" t="s">
        <v>30</v>
      </c>
      <c r="L83" s="117" t="s">
        <v>44</v>
      </c>
      <c r="M83" s="117" t="s">
        <v>45</v>
      </c>
      <c r="N83" s="223"/>
      <c r="O83" s="225"/>
      <c r="P83" s="221"/>
    </row>
    <row r="84" spans="1:16">
      <c r="A84" s="118" t="s">
        <v>46</v>
      </c>
      <c r="B84" s="18">
        <v>75</v>
      </c>
      <c r="C84" s="18">
        <v>251</v>
      </c>
      <c r="D84" s="18">
        <v>216</v>
      </c>
      <c r="E84" s="18">
        <v>8</v>
      </c>
      <c r="F84" s="18">
        <v>8</v>
      </c>
      <c r="G84" s="18">
        <v>2</v>
      </c>
      <c r="H84" s="18">
        <v>6</v>
      </c>
      <c r="I84" s="18">
        <v>6</v>
      </c>
      <c r="J84" s="18">
        <v>5</v>
      </c>
      <c r="K84" s="18">
        <v>164</v>
      </c>
      <c r="L84" s="18">
        <v>555</v>
      </c>
      <c r="M84" s="18">
        <v>454</v>
      </c>
      <c r="N84" s="18">
        <v>39</v>
      </c>
      <c r="O84" s="20">
        <v>10</v>
      </c>
      <c r="P84" s="33">
        <f t="shared" ref="P84:P102" si="0">$B84*$E$54+$C84*$E$55+$D84*$E$56+$E84*$E$57+$F84*$E$58+$G84*$E$60+$H84*$E$61+SUM($K84:$M84)*$E$63+$N84*$E$64+$O84*$E$65</f>
        <v>8.6405300000000036</v>
      </c>
    </row>
    <row r="85" spans="1:16" ht="22.5">
      <c r="A85" s="118" t="s">
        <v>47</v>
      </c>
      <c r="B85" s="18">
        <v>278</v>
      </c>
      <c r="C85" s="18">
        <v>582</v>
      </c>
      <c r="D85" s="18">
        <v>34</v>
      </c>
      <c r="E85" s="18">
        <v>18</v>
      </c>
      <c r="F85" s="18">
        <v>10</v>
      </c>
      <c r="G85" s="18">
        <v>1</v>
      </c>
      <c r="H85" s="18">
        <v>12</v>
      </c>
      <c r="I85" s="18">
        <v>15</v>
      </c>
      <c r="J85" s="18">
        <v>4</v>
      </c>
      <c r="K85" s="18">
        <v>705</v>
      </c>
      <c r="L85" s="19">
        <v>1296</v>
      </c>
      <c r="M85" s="18">
        <v>785</v>
      </c>
      <c r="N85" s="18">
        <v>20</v>
      </c>
      <c r="O85" s="20">
        <v>16</v>
      </c>
      <c r="P85" s="33">
        <f t="shared" si="0"/>
        <v>19.602519999999995</v>
      </c>
    </row>
    <row r="86" spans="1:16" ht="22.5">
      <c r="A86" s="118" t="s">
        <v>48</v>
      </c>
      <c r="B86" s="18">
        <v>102</v>
      </c>
      <c r="C86" s="18">
        <v>402</v>
      </c>
      <c r="D86" s="18">
        <v>62</v>
      </c>
      <c r="E86" s="18">
        <v>13</v>
      </c>
      <c r="F86" s="18">
        <v>3</v>
      </c>
      <c r="G86" s="18">
        <v>2</v>
      </c>
      <c r="H86" s="18">
        <v>12</v>
      </c>
      <c r="I86" s="18">
        <v>13</v>
      </c>
      <c r="J86" s="18">
        <v>0</v>
      </c>
      <c r="K86" s="18">
        <v>300</v>
      </c>
      <c r="L86" s="19">
        <v>1200</v>
      </c>
      <c r="M86" s="18">
        <v>468</v>
      </c>
      <c r="N86" s="18">
        <v>26</v>
      </c>
      <c r="O86" s="20">
        <v>8</v>
      </c>
      <c r="P86" s="33">
        <f t="shared" si="0"/>
        <v>12.538459999999999</v>
      </c>
    </row>
    <row r="87" spans="1:16">
      <c r="A87" s="118" t="s">
        <v>49</v>
      </c>
      <c r="B87" s="18">
        <v>138</v>
      </c>
      <c r="C87" s="18">
        <v>234</v>
      </c>
      <c r="D87" s="18">
        <v>293</v>
      </c>
      <c r="E87" s="18">
        <v>8</v>
      </c>
      <c r="F87" s="18">
        <v>5</v>
      </c>
      <c r="G87" s="18">
        <v>3</v>
      </c>
      <c r="H87" s="18">
        <v>5</v>
      </c>
      <c r="I87" s="18">
        <v>3</v>
      </c>
      <c r="J87" s="18">
        <v>3</v>
      </c>
      <c r="K87" s="18">
        <v>345</v>
      </c>
      <c r="L87" s="18">
        <v>566</v>
      </c>
      <c r="M87" s="18">
        <v>732</v>
      </c>
      <c r="N87" s="18">
        <v>27</v>
      </c>
      <c r="O87" s="20">
        <v>6</v>
      </c>
      <c r="P87" s="33">
        <f t="shared" si="0"/>
        <v>10.604240000000001</v>
      </c>
    </row>
    <row r="88" spans="1:16">
      <c r="A88" s="118" t="s">
        <v>50</v>
      </c>
      <c r="B88" s="18">
        <v>300</v>
      </c>
      <c r="C88" s="18">
        <v>375</v>
      </c>
      <c r="D88" s="18">
        <v>306</v>
      </c>
      <c r="E88" s="18">
        <v>12</v>
      </c>
      <c r="F88" s="18">
        <v>9</v>
      </c>
      <c r="G88" s="18">
        <v>2</v>
      </c>
      <c r="H88" s="18">
        <v>9</v>
      </c>
      <c r="I88" s="18">
        <v>4</v>
      </c>
      <c r="J88" s="18">
        <v>4</v>
      </c>
      <c r="K88" s="19">
        <v>1038</v>
      </c>
      <c r="L88" s="18">
        <v>892</v>
      </c>
      <c r="M88" s="18">
        <v>623</v>
      </c>
      <c r="N88" s="18">
        <v>25</v>
      </c>
      <c r="O88" s="20">
        <v>10</v>
      </c>
      <c r="P88" s="33">
        <f t="shared" si="0"/>
        <v>17.312630000000002</v>
      </c>
    </row>
    <row r="89" spans="1:16" ht="23.25">
      <c r="A89" s="118" t="s">
        <v>51</v>
      </c>
      <c r="B89" s="18">
        <v>100</v>
      </c>
      <c r="C89" s="18">
        <v>208</v>
      </c>
      <c r="D89" s="18">
        <v>218</v>
      </c>
      <c r="E89" s="18">
        <v>5</v>
      </c>
      <c r="F89" s="18">
        <v>5</v>
      </c>
      <c r="G89" s="18">
        <v>2</v>
      </c>
      <c r="H89" s="18">
        <v>5</v>
      </c>
      <c r="I89" s="18">
        <v>3</v>
      </c>
      <c r="J89" s="18">
        <v>5</v>
      </c>
      <c r="K89" s="18">
        <v>290</v>
      </c>
      <c r="L89" s="18">
        <v>456</v>
      </c>
      <c r="M89" s="18">
        <v>538</v>
      </c>
      <c r="N89" s="18">
        <v>20</v>
      </c>
      <c r="O89" s="20">
        <v>6</v>
      </c>
      <c r="P89" s="33">
        <f t="shared" si="0"/>
        <v>8.2013400000000001</v>
      </c>
    </row>
    <row r="90" spans="1:16">
      <c r="A90" s="118" t="s">
        <v>52</v>
      </c>
      <c r="B90" s="18">
        <v>186</v>
      </c>
      <c r="C90" s="18">
        <v>375</v>
      </c>
      <c r="D90" s="18">
        <v>450</v>
      </c>
      <c r="E90" s="18">
        <v>13</v>
      </c>
      <c r="F90" s="18">
        <v>14</v>
      </c>
      <c r="G90" s="18">
        <v>2</v>
      </c>
      <c r="H90" s="18">
        <v>8</v>
      </c>
      <c r="I90" s="18">
        <v>8</v>
      </c>
      <c r="J90" s="18">
        <v>7</v>
      </c>
      <c r="K90" s="18">
        <v>490</v>
      </c>
      <c r="L90" s="18">
        <v>943</v>
      </c>
      <c r="M90" s="18">
        <v>938</v>
      </c>
      <c r="N90" s="18">
        <v>8</v>
      </c>
      <c r="O90" s="20">
        <v>8</v>
      </c>
      <c r="P90" s="33">
        <f t="shared" si="0"/>
        <v>14.23495</v>
      </c>
    </row>
    <row r="91" spans="1:16" ht="22.5">
      <c r="A91" s="118" t="s">
        <v>53</v>
      </c>
      <c r="B91" s="18">
        <v>206</v>
      </c>
      <c r="C91" s="18">
        <v>197</v>
      </c>
      <c r="D91" s="18">
        <v>0</v>
      </c>
      <c r="E91" s="18">
        <v>7</v>
      </c>
      <c r="F91" s="18">
        <v>0</v>
      </c>
      <c r="G91" s="18">
        <v>0</v>
      </c>
      <c r="H91" s="18">
        <v>4</v>
      </c>
      <c r="I91" s="18">
        <v>0</v>
      </c>
      <c r="J91" s="18">
        <v>0</v>
      </c>
      <c r="K91" s="18">
        <v>515</v>
      </c>
      <c r="L91" s="18">
        <v>405</v>
      </c>
      <c r="M91" s="18">
        <v>0</v>
      </c>
      <c r="N91" s="18">
        <v>0</v>
      </c>
      <c r="O91" s="20">
        <v>4</v>
      </c>
      <c r="P91" s="33">
        <f t="shared" si="0"/>
        <v>9.3961000000000023</v>
      </c>
    </row>
    <row r="92" spans="1:16" ht="22.5">
      <c r="A92" s="118" t="s">
        <v>54</v>
      </c>
      <c r="B92" s="18">
        <v>148</v>
      </c>
      <c r="C92" s="18">
        <v>174</v>
      </c>
      <c r="D92" s="18">
        <v>277</v>
      </c>
      <c r="E92" s="18">
        <v>9</v>
      </c>
      <c r="F92" s="18">
        <v>8</v>
      </c>
      <c r="G92" s="18">
        <v>2</v>
      </c>
      <c r="H92" s="18">
        <v>7</v>
      </c>
      <c r="I92" s="18">
        <v>16</v>
      </c>
      <c r="J92" s="18">
        <v>13</v>
      </c>
      <c r="K92" s="18">
        <v>260</v>
      </c>
      <c r="L92" s="18">
        <v>322</v>
      </c>
      <c r="M92" s="18">
        <v>459</v>
      </c>
      <c r="N92" s="18">
        <v>13</v>
      </c>
      <c r="O92" s="20">
        <v>8</v>
      </c>
      <c r="P92" s="33">
        <f t="shared" si="0"/>
        <v>9.92286</v>
      </c>
    </row>
    <row r="93" spans="1:16">
      <c r="A93" s="118" t="s">
        <v>55</v>
      </c>
      <c r="B93" s="18">
        <v>168</v>
      </c>
      <c r="C93" s="18">
        <v>41</v>
      </c>
      <c r="D93" s="18">
        <v>0</v>
      </c>
      <c r="E93" s="18">
        <v>3</v>
      </c>
      <c r="F93" s="18">
        <v>0</v>
      </c>
      <c r="G93" s="18">
        <v>2</v>
      </c>
      <c r="H93" s="18">
        <v>4</v>
      </c>
      <c r="I93" s="18">
        <v>2</v>
      </c>
      <c r="J93" s="18">
        <v>0</v>
      </c>
      <c r="K93" s="18">
        <v>304</v>
      </c>
      <c r="L93" s="18">
        <v>78</v>
      </c>
      <c r="M93" s="18">
        <v>0</v>
      </c>
      <c r="N93" s="18">
        <v>8</v>
      </c>
      <c r="O93" s="20">
        <v>4</v>
      </c>
      <c r="P93" s="33">
        <f t="shared" si="0"/>
        <v>7.3771999999999993</v>
      </c>
    </row>
    <row r="94" spans="1:16">
      <c r="A94" s="118" t="s">
        <v>56</v>
      </c>
      <c r="B94" s="18">
        <v>120</v>
      </c>
      <c r="C94" s="18">
        <v>334</v>
      </c>
      <c r="D94" s="18">
        <v>250</v>
      </c>
      <c r="E94" s="18">
        <v>5</v>
      </c>
      <c r="F94" s="18">
        <v>8</v>
      </c>
      <c r="G94" s="18">
        <v>2</v>
      </c>
      <c r="H94" s="18">
        <v>5</v>
      </c>
      <c r="I94" s="18">
        <v>10</v>
      </c>
      <c r="J94" s="18">
        <v>9</v>
      </c>
      <c r="K94" s="18">
        <v>187</v>
      </c>
      <c r="L94" s="18">
        <v>476</v>
      </c>
      <c r="M94" s="18">
        <v>900</v>
      </c>
      <c r="N94" s="18">
        <v>16</v>
      </c>
      <c r="O94" s="20">
        <v>6</v>
      </c>
      <c r="P94" s="33">
        <f t="shared" si="0"/>
        <v>10.241650000000002</v>
      </c>
    </row>
    <row r="95" spans="1:16">
      <c r="A95" s="118" t="s">
        <v>57</v>
      </c>
      <c r="B95" s="18">
        <v>67</v>
      </c>
      <c r="C95" s="18">
        <v>205</v>
      </c>
      <c r="D95" s="18">
        <v>202</v>
      </c>
      <c r="E95" s="18">
        <v>6</v>
      </c>
      <c r="F95" s="18">
        <v>11</v>
      </c>
      <c r="G95" s="18">
        <v>1</v>
      </c>
      <c r="H95" s="18">
        <v>10</v>
      </c>
      <c r="I95" s="18">
        <v>6</v>
      </c>
      <c r="J95" s="18">
        <v>22</v>
      </c>
      <c r="K95" s="18">
        <v>230</v>
      </c>
      <c r="L95" s="18">
        <v>398</v>
      </c>
      <c r="M95" s="18">
        <v>341</v>
      </c>
      <c r="N95" s="18">
        <v>33</v>
      </c>
      <c r="O95" s="20">
        <v>14</v>
      </c>
      <c r="P95" s="33">
        <f t="shared" si="0"/>
        <v>7.7557100000000005</v>
      </c>
    </row>
    <row r="96" spans="1:16">
      <c r="A96" s="118" t="s">
        <v>58</v>
      </c>
      <c r="B96" s="18">
        <v>58</v>
      </c>
      <c r="C96" s="18">
        <v>96</v>
      </c>
      <c r="D96" s="18">
        <v>127</v>
      </c>
      <c r="E96" s="18">
        <v>6</v>
      </c>
      <c r="F96" s="18">
        <v>6</v>
      </c>
      <c r="G96" s="18">
        <v>3</v>
      </c>
      <c r="H96" s="18">
        <v>3</v>
      </c>
      <c r="I96" s="18">
        <v>88</v>
      </c>
      <c r="J96" s="18">
        <v>15</v>
      </c>
      <c r="K96" s="18">
        <v>165</v>
      </c>
      <c r="L96" s="18">
        <v>240</v>
      </c>
      <c r="M96" s="18">
        <v>345</v>
      </c>
      <c r="N96" s="18">
        <v>50</v>
      </c>
      <c r="O96" s="20">
        <v>3</v>
      </c>
      <c r="P96" s="33">
        <f t="shared" si="0"/>
        <v>6.1755100000000009</v>
      </c>
    </row>
    <row r="97" spans="1:16">
      <c r="A97" s="118" t="s">
        <v>59</v>
      </c>
      <c r="B97" s="18">
        <v>54</v>
      </c>
      <c r="C97" s="18">
        <v>26</v>
      </c>
      <c r="D97" s="18">
        <v>84</v>
      </c>
      <c r="E97" s="18">
        <v>6</v>
      </c>
      <c r="F97" s="18">
        <v>6</v>
      </c>
      <c r="G97" s="18">
        <v>2</v>
      </c>
      <c r="H97" s="18">
        <v>2</v>
      </c>
      <c r="I97" s="18">
        <v>5</v>
      </c>
      <c r="J97" s="18">
        <v>2</v>
      </c>
      <c r="K97" s="18">
        <v>105</v>
      </c>
      <c r="L97" s="18">
        <v>121</v>
      </c>
      <c r="M97" s="18">
        <v>230</v>
      </c>
      <c r="N97" s="18">
        <v>16</v>
      </c>
      <c r="O97" s="20">
        <v>4</v>
      </c>
      <c r="P97" s="33">
        <f t="shared" si="0"/>
        <v>4.3627200000000004</v>
      </c>
    </row>
    <row r="98" spans="1:16">
      <c r="A98" s="118" t="s">
        <v>60</v>
      </c>
      <c r="B98" s="18">
        <v>157</v>
      </c>
      <c r="C98" s="18">
        <v>313</v>
      </c>
      <c r="D98" s="18">
        <v>118</v>
      </c>
      <c r="E98" s="18">
        <v>7</v>
      </c>
      <c r="F98" s="18">
        <v>4</v>
      </c>
      <c r="G98" s="18">
        <v>2</v>
      </c>
      <c r="H98" s="18">
        <v>5</v>
      </c>
      <c r="I98" s="18">
        <v>4</v>
      </c>
      <c r="J98" s="18">
        <v>6</v>
      </c>
      <c r="K98" s="18">
        <v>171</v>
      </c>
      <c r="L98" s="18">
        <v>481</v>
      </c>
      <c r="M98" s="18">
        <v>210</v>
      </c>
      <c r="N98" s="18">
        <v>20</v>
      </c>
      <c r="O98" s="20">
        <v>6</v>
      </c>
      <c r="P98" s="33">
        <f t="shared" si="0"/>
        <v>10.95194</v>
      </c>
    </row>
    <row r="99" spans="1:16">
      <c r="A99" s="118" t="s">
        <v>61</v>
      </c>
      <c r="B99" s="18">
        <v>270</v>
      </c>
      <c r="C99" s="18">
        <v>352</v>
      </c>
      <c r="D99" s="18">
        <v>64</v>
      </c>
      <c r="E99" s="18">
        <v>9</v>
      </c>
      <c r="F99" s="18">
        <v>2</v>
      </c>
      <c r="G99" s="18">
        <v>2</v>
      </c>
      <c r="H99" s="18">
        <v>7</v>
      </c>
      <c r="I99" s="18">
        <v>10</v>
      </c>
      <c r="J99" s="18">
        <v>1</v>
      </c>
      <c r="K99" s="18">
        <v>432</v>
      </c>
      <c r="L99" s="18">
        <v>971</v>
      </c>
      <c r="M99" s="18">
        <v>243</v>
      </c>
      <c r="N99" s="18">
        <v>7</v>
      </c>
      <c r="O99" s="20">
        <v>8</v>
      </c>
      <c r="P99" s="33">
        <f t="shared" si="0"/>
        <v>15.095120000000001</v>
      </c>
    </row>
    <row r="100" spans="1:16">
      <c r="A100" s="118" t="s">
        <v>62</v>
      </c>
      <c r="B100" s="18">
        <v>224</v>
      </c>
      <c r="C100" s="18">
        <v>563</v>
      </c>
      <c r="D100" s="18">
        <v>15</v>
      </c>
      <c r="E100" s="18">
        <v>12</v>
      </c>
      <c r="F100" s="18">
        <v>0</v>
      </c>
      <c r="G100" s="18">
        <v>1</v>
      </c>
      <c r="H100" s="18">
        <v>10</v>
      </c>
      <c r="I100" s="18">
        <v>5</v>
      </c>
      <c r="J100" s="18">
        <v>3</v>
      </c>
      <c r="K100" s="18">
        <v>150</v>
      </c>
      <c r="L100" s="18">
        <v>450</v>
      </c>
      <c r="M100" s="18">
        <v>27</v>
      </c>
      <c r="N100" s="18">
        <v>5</v>
      </c>
      <c r="O100" s="20">
        <v>7</v>
      </c>
      <c r="P100" s="33">
        <f t="shared" si="0"/>
        <v>16.020600000000002</v>
      </c>
    </row>
    <row r="101" spans="1:16">
      <c r="A101" s="21" t="s">
        <v>63</v>
      </c>
      <c r="B101" s="18">
        <v>145</v>
      </c>
      <c r="C101" s="19">
        <v>1208</v>
      </c>
      <c r="D101" s="18">
        <v>200</v>
      </c>
      <c r="E101" s="18">
        <v>35</v>
      </c>
      <c r="F101" s="18">
        <v>39</v>
      </c>
      <c r="G101" s="18">
        <v>3</v>
      </c>
      <c r="H101" s="18">
        <v>10</v>
      </c>
      <c r="I101" s="18">
        <v>14</v>
      </c>
      <c r="J101" s="18">
        <v>4</v>
      </c>
      <c r="K101" s="18">
        <v>452</v>
      </c>
      <c r="L101" s="19">
        <v>1486</v>
      </c>
      <c r="M101" s="19">
        <v>2645</v>
      </c>
      <c r="N101" s="18">
        <v>19</v>
      </c>
      <c r="O101" s="20">
        <v>17</v>
      </c>
      <c r="P101" s="33">
        <f t="shared" si="0"/>
        <v>26.86065</v>
      </c>
    </row>
    <row r="102" spans="1:16" ht="22.5">
      <c r="A102" s="118" t="s">
        <v>64</v>
      </c>
      <c r="B102" s="18">
        <v>153</v>
      </c>
      <c r="C102" s="18">
        <v>242</v>
      </c>
      <c r="D102" s="18">
        <v>201</v>
      </c>
      <c r="E102" s="18">
        <v>7</v>
      </c>
      <c r="F102" s="18">
        <v>5</v>
      </c>
      <c r="G102" s="18">
        <v>2</v>
      </c>
      <c r="H102" s="18">
        <v>5</v>
      </c>
      <c r="I102" s="18">
        <v>5</v>
      </c>
      <c r="J102" s="18">
        <v>5</v>
      </c>
      <c r="K102" s="18">
        <v>167</v>
      </c>
      <c r="L102" s="18">
        <v>307</v>
      </c>
      <c r="M102" s="18">
        <v>249</v>
      </c>
      <c r="N102" s="18">
        <v>60</v>
      </c>
      <c r="O102" s="20">
        <v>6</v>
      </c>
      <c r="P102" s="33">
        <f t="shared" si="0"/>
        <v>10.168180000000001</v>
      </c>
    </row>
    <row r="103" spans="1:16" ht="14.25" thickBot="1">
      <c r="A103" s="22" t="s">
        <v>65</v>
      </c>
      <c r="B103" s="23">
        <f>SUM(B84:B102)</f>
        <v>2949</v>
      </c>
      <c r="C103" s="23">
        <f t="shared" ref="C103:O103" si="1">SUM(C84:C102)</f>
        <v>6178</v>
      </c>
      <c r="D103" s="23">
        <f t="shared" si="1"/>
        <v>3117</v>
      </c>
      <c r="E103" s="23">
        <f t="shared" si="1"/>
        <v>189</v>
      </c>
      <c r="F103" s="23">
        <f t="shared" si="1"/>
        <v>143</v>
      </c>
      <c r="G103" s="23">
        <f t="shared" si="1"/>
        <v>36</v>
      </c>
      <c r="H103" s="23">
        <f t="shared" si="1"/>
        <v>129</v>
      </c>
      <c r="I103" s="23">
        <f t="shared" si="1"/>
        <v>217</v>
      </c>
      <c r="J103" s="23">
        <f t="shared" si="1"/>
        <v>108</v>
      </c>
      <c r="K103" s="23">
        <f t="shared" si="1"/>
        <v>6470</v>
      </c>
      <c r="L103" s="23">
        <f t="shared" si="1"/>
        <v>11643</v>
      </c>
      <c r="M103" s="23">
        <f t="shared" si="1"/>
        <v>10187</v>
      </c>
      <c r="N103" s="23">
        <f t="shared" si="1"/>
        <v>412</v>
      </c>
      <c r="O103" s="24">
        <f t="shared" si="1"/>
        <v>151</v>
      </c>
      <c r="P103" s="32">
        <f>SUM(P84:P102)</f>
        <v>225.46291000000002</v>
      </c>
    </row>
    <row r="105" spans="1:16" ht="23.25" thickBot="1">
      <c r="A105" s="25" t="s">
        <v>67</v>
      </c>
      <c r="C105">
        <f>B127*E54+C127*E55+D127*E56+E127*E57+F127*E58+G127*E60+H127*E61+SUM(K127:M127)*E63+N127*E64+O127*E65</f>
        <v>274.16157000000004</v>
      </c>
    </row>
    <row r="106" spans="1:16">
      <c r="A106" s="226" t="s">
        <v>42</v>
      </c>
      <c r="B106" s="222" t="s">
        <v>87</v>
      </c>
      <c r="C106" s="222"/>
      <c r="D106" s="222"/>
      <c r="E106" s="222" t="s">
        <v>85</v>
      </c>
      <c r="F106" s="222"/>
      <c r="G106" s="222" t="s">
        <v>43</v>
      </c>
      <c r="H106" s="222" t="s">
        <v>13</v>
      </c>
      <c r="I106" s="222"/>
      <c r="J106" s="222"/>
      <c r="K106" s="222" t="s">
        <v>22</v>
      </c>
      <c r="L106" s="222"/>
      <c r="M106" s="222"/>
      <c r="N106" s="222" t="s">
        <v>34</v>
      </c>
      <c r="O106" s="224" t="s">
        <v>39</v>
      </c>
      <c r="P106" s="221" t="s">
        <v>78</v>
      </c>
    </row>
    <row r="107" spans="1:16">
      <c r="A107" s="227"/>
      <c r="B107" s="117" t="s">
        <v>30</v>
      </c>
      <c r="C107" s="117" t="s">
        <v>8</v>
      </c>
      <c r="D107" s="117" t="s">
        <v>31</v>
      </c>
      <c r="E107" s="117" t="s">
        <v>8</v>
      </c>
      <c r="F107" s="117" t="s">
        <v>31</v>
      </c>
      <c r="G107" s="223"/>
      <c r="H107" s="117" t="s">
        <v>30</v>
      </c>
      <c r="I107" s="117" t="s">
        <v>44</v>
      </c>
      <c r="J107" s="117" t="s">
        <v>45</v>
      </c>
      <c r="K107" s="117" t="s">
        <v>30</v>
      </c>
      <c r="L107" s="117" t="s">
        <v>44</v>
      </c>
      <c r="M107" s="117" t="s">
        <v>45</v>
      </c>
      <c r="N107" s="223"/>
      <c r="O107" s="225"/>
      <c r="P107" s="221"/>
    </row>
    <row r="108" spans="1:16">
      <c r="A108" s="118" t="s">
        <v>46</v>
      </c>
      <c r="B108" s="18">
        <v>204</v>
      </c>
      <c r="C108" s="18">
        <v>440</v>
      </c>
      <c r="D108" s="18">
        <v>498</v>
      </c>
      <c r="E108" s="18">
        <v>15</v>
      </c>
      <c r="F108" s="18">
        <v>14</v>
      </c>
      <c r="G108" s="18">
        <v>2</v>
      </c>
      <c r="H108" s="18">
        <v>7</v>
      </c>
      <c r="I108" s="18">
        <v>5</v>
      </c>
      <c r="J108" s="18">
        <v>12</v>
      </c>
      <c r="K108" s="18">
        <v>549</v>
      </c>
      <c r="L108" s="18">
        <v>982</v>
      </c>
      <c r="M108" s="19">
        <v>1046</v>
      </c>
      <c r="N108" s="18">
        <v>75</v>
      </c>
      <c r="O108" s="20">
        <v>9</v>
      </c>
      <c r="P108" s="33">
        <f t="shared" ref="P108:P126" si="2">$B108*$E$54+$C108*$E$55+$D108*$E$56+$E108*$E$57+$F108*$E$58+$G108*$E$60+$H108*$E$61+SUM($K108:$M108)*$E$63+$N108*$E$64+$O108*$E$65</f>
        <v>15.725489999999999</v>
      </c>
    </row>
    <row r="109" spans="1:16" ht="22.5">
      <c r="A109" s="118" t="s">
        <v>47</v>
      </c>
      <c r="B109" s="18">
        <v>192</v>
      </c>
      <c r="C109" s="18">
        <v>597</v>
      </c>
      <c r="D109" s="18">
        <v>0</v>
      </c>
      <c r="E109" s="18">
        <v>21</v>
      </c>
      <c r="F109" s="18">
        <v>0</v>
      </c>
      <c r="G109" s="18">
        <v>2</v>
      </c>
      <c r="H109" s="18">
        <v>13</v>
      </c>
      <c r="I109" s="18">
        <v>4</v>
      </c>
      <c r="J109" s="18">
        <v>0</v>
      </c>
      <c r="K109" s="18">
        <v>491</v>
      </c>
      <c r="L109" s="19">
        <v>1328</v>
      </c>
      <c r="M109" s="18">
        <v>600</v>
      </c>
      <c r="N109" s="18">
        <v>35</v>
      </c>
      <c r="O109" s="20">
        <v>6</v>
      </c>
      <c r="P109" s="33">
        <f t="shared" si="2"/>
        <v>18.174149999999997</v>
      </c>
    </row>
    <row r="110" spans="1:16" ht="22.5">
      <c r="A110" s="118" t="s">
        <v>48</v>
      </c>
      <c r="B110" s="18">
        <v>104</v>
      </c>
      <c r="C110" s="18">
        <v>624</v>
      </c>
      <c r="D110" s="18">
        <v>128</v>
      </c>
      <c r="E110" s="18">
        <v>13</v>
      </c>
      <c r="F110" s="18">
        <v>8</v>
      </c>
      <c r="G110" s="18">
        <v>1</v>
      </c>
      <c r="H110" s="18">
        <v>9</v>
      </c>
      <c r="I110" s="18">
        <v>11</v>
      </c>
      <c r="J110" s="18">
        <v>1</v>
      </c>
      <c r="K110" s="18">
        <v>330</v>
      </c>
      <c r="L110" s="19">
        <v>1300</v>
      </c>
      <c r="M110" s="18">
        <v>180</v>
      </c>
      <c r="N110" s="18">
        <v>40</v>
      </c>
      <c r="O110" s="20">
        <v>14</v>
      </c>
      <c r="P110" s="33">
        <f t="shared" si="2"/>
        <v>14.098739999999998</v>
      </c>
    </row>
    <row r="111" spans="1:16">
      <c r="A111" s="118" t="s">
        <v>49</v>
      </c>
      <c r="B111" s="18">
        <v>310</v>
      </c>
      <c r="C111" s="18">
        <v>383</v>
      </c>
      <c r="D111" s="18">
        <v>84</v>
      </c>
      <c r="E111" s="18">
        <v>12</v>
      </c>
      <c r="F111" s="18">
        <v>2</v>
      </c>
      <c r="G111" s="18">
        <v>3</v>
      </c>
      <c r="H111" s="18">
        <v>8</v>
      </c>
      <c r="I111" s="18">
        <v>11</v>
      </c>
      <c r="J111" s="18">
        <v>0</v>
      </c>
      <c r="K111" s="18">
        <v>653</v>
      </c>
      <c r="L111" s="18">
        <v>842</v>
      </c>
      <c r="M111" s="18">
        <v>132</v>
      </c>
      <c r="N111" s="18">
        <v>48</v>
      </c>
      <c r="O111" s="20">
        <v>9</v>
      </c>
      <c r="P111" s="33">
        <f t="shared" si="2"/>
        <v>17.75217</v>
      </c>
    </row>
    <row r="112" spans="1:16">
      <c r="A112" s="118" t="s">
        <v>50</v>
      </c>
      <c r="B112" s="18">
        <v>290</v>
      </c>
      <c r="C112" s="18">
        <v>651</v>
      </c>
      <c r="D112" s="18">
        <v>308</v>
      </c>
      <c r="E112" s="18">
        <v>22</v>
      </c>
      <c r="F112" s="18">
        <v>12</v>
      </c>
      <c r="G112" s="18">
        <v>2</v>
      </c>
      <c r="H112" s="18">
        <v>10</v>
      </c>
      <c r="I112" s="18">
        <v>12</v>
      </c>
      <c r="J112" s="18">
        <v>0</v>
      </c>
      <c r="K112" s="18">
        <v>418</v>
      </c>
      <c r="L112" s="19">
        <v>1361</v>
      </c>
      <c r="M112" s="18">
        <v>507</v>
      </c>
      <c r="N112" s="18">
        <v>329</v>
      </c>
      <c r="O112" s="20">
        <v>28</v>
      </c>
      <c r="P112" s="33">
        <f t="shared" si="2"/>
        <v>22.318940000000001</v>
      </c>
    </row>
    <row r="113" spans="1:16" ht="23.25">
      <c r="A113" s="118" t="s">
        <v>51</v>
      </c>
      <c r="B113" s="18">
        <v>224</v>
      </c>
      <c r="C113" s="18">
        <v>253</v>
      </c>
      <c r="D113" s="18">
        <v>200</v>
      </c>
      <c r="E113" s="18">
        <v>7</v>
      </c>
      <c r="F113" s="18">
        <v>6</v>
      </c>
      <c r="G113" s="18">
        <v>2</v>
      </c>
      <c r="H113" s="18">
        <v>9</v>
      </c>
      <c r="I113" s="18">
        <v>4</v>
      </c>
      <c r="J113" s="18">
        <v>8</v>
      </c>
      <c r="K113" s="18">
        <v>439</v>
      </c>
      <c r="L113" s="18">
        <v>581</v>
      </c>
      <c r="M113" s="18">
        <v>481</v>
      </c>
      <c r="N113" s="18">
        <v>49</v>
      </c>
      <c r="O113" s="20">
        <v>8</v>
      </c>
      <c r="P113" s="33">
        <f t="shared" si="2"/>
        <v>13.050849999999997</v>
      </c>
    </row>
    <row r="114" spans="1:16">
      <c r="A114" s="118" t="s">
        <v>52</v>
      </c>
      <c r="B114" s="18">
        <v>277</v>
      </c>
      <c r="C114" s="18">
        <v>282</v>
      </c>
      <c r="D114" s="18">
        <v>445</v>
      </c>
      <c r="E114" s="18">
        <v>12</v>
      </c>
      <c r="F114" s="18">
        <v>12</v>
      </c>
      <c r="G114" s="18">
        <v>2</v>
      </c>
      <c r="H114" s="18">
        <v>11</v>
      </c>
      <c r="I114" s="18">
        <v>9</v>
      </c>
      <c r="J114" s="18">
        <v>13</v>
      </c>
      <c r="K114" s="18">
        <v>593</v>
      </c>
      <c r="L114" s="18">
        <v>747</v>
      </c>
      <c r="M114" s="18">
        <v>890</v>
      </c>
      <c r="N114" s="18">
        <v>59</v>
      </c>
      <c r="O114" s="20">
        <v>15</v>
      </c>
      <c r="P114" s="33">
        <f t="shared" si="2"/>
        <v>16.16995</v>
      </c>
    </row>
    <row r="115" spans="1:16" ht="22.5">
      <c r="A115" s="118" t="s">
        <v>53</v>
      </c>
      <c r="B115" s="18">
        <v>110</v>
      </c>
      <c r="C115" s="18">
        <v>246</v>
      </c>
      <c r="D115" s="18">
        <v>130</v>
      </c>
      <c r="E115" s="18">
        <v>7</v>
      </c>
      <c r="F115" s="18">
        <v>6</v>
      </c>
      <c r="G115" s="18">
        <v>1</v>
      </c>
      <c r="H115" s="18">
        <v>6</v>
      </c>
      <c r="I115" s="18">
        <v>3</v>
      </c>
      <c r="J115" s="18">
        <v>15</v>
      </c>
      <c r="K115" s="18">
        <v>277</v>
      </c>
      <c r="L115" s="18">
        <v>563</v>
      </c>
      <c r="M115" s="18">
        <v>468</v>
      </c>
      <c r="N115" s="18">
        <v>30</v>
      </c>
      <c r="O115" s="20">
        <v>7</v>
      </c>
      <c r="P115" s="33">
        <f t="shared" si="2"/>
        <v>8.6803000000000026</v>
      </c>
    </row>
    <row r="116" spans="1:16" ht="22.5">
      <c r="A116" s="118" t="s">
        <v>54</v>
      </c>
      <c r="B116" s="18">
        <v>190</v>
      </c>
      <c r="C116" s="18">
        <v>309</v>
      </c>
      <c r="D116" s="18">
        <v>250</v>
      </c>
      <c r="E116" s="18">
        <v>12</v>
      </c>
      <c r="F116" s="18">
        <v>11</v>
      </c>
      <c r="G116" s="18">
        <v>1</v>
      </c>
      <c r="H116" s="18">
        <v>8</v>
      </c>
      <c r="I116" s="18">
        <v>5</v>
      </c>
      <c r="J116" s="18">
        <v>10</v>
      </c>
      <c r="K116" s="18">
        <v>627</v>
      </c>
      <c r="L116" s="18">
        <v>748</v>
      </c>
      <c r="M116" s="18">
        <v>791</v>
      </c>
      <c r="N116" s="18">
        <v>100</v>
      </c>
      <c r="O116" s="20">
        <v>10</v>
      </c>
      <c r="P116" s="33">
        <f t="shared" si="2"/>
        <v>12.954099999999999</v>
      </c>
    </row>
    <row r="117" spans="1:16">
      <c r="A117" s="118" t="s">
        <v>55</v>
      </c>
      <c r="B117" s="18">
        <v>301</v>
      </c>
      <c r="C117" s="18">
        <v>58</v>
      </c>
      <c r="D117" s="18">
        <v>0</v>
      </c>
      <c r="E117" s="18">
        <v>7</v>
      </c>
      <c r="F117" s="18">
        <v>360</v>
      </c>
      <c r="G117" s="18">
        <v>3</v>
      </c>
      <c r="H117" s="18">
        <v>4</v>
      </c>
      <c r="I117" s="18">
        <v>139</v>
      </c>
      <c r="J117" s="18">
        <v>0</v>
      </c>
      <c r="K117" s="18">
        <v>162</v>
      </c>
      <c r="L117" s="18">
        <v>148</v>
      </c>
      <c r="M117" s="18">
        <v>0</v>
      </c>
      <c r="N117" s="18">
        <v>59</v>
      </c>
      <c r="O117" s="20">
        <v>21</v>
      </c>
      <c r="P117" s="33">
        <f t="shared" si="2"/>
        <v>20.133200000000006</v>
      </c>
    </row>
    <row r="118" spans="1:16">
      <c r="A118" s="118" t="s">
        <v>56</v>
      </c>
      <c r="B118" s="18">
        <v>76</v>
      </c>
      <c r="C118" s="18">
        <v>43</v>
      </c>
      <c r="D118" s="18">
        <v>0</v>
      </c>
      <c r="E118" s="18">
        <v>4</v>
      </c>
      <c r="F118" s="18">
        <v>0</v>
      </c>
      <c r="G118" s="18">
        <v>0</v>
      </c>
      <c r="H118" s="18">
        <v>3</v>
      </c>
      <c r="I118" s="18">
        <v>7</v>
      </c>
      <c r="J118" s="18">
        <v>0</v>
      </c>
      <c r="K118" s="18">
        <v>90</v>
      </c>
      <c r="L118" s="18">
        <v>90</v>
      </c>
      <c r="M118" s="18">
        <v>0</v>
      </c>
      <c r="N118" s="18">
        <v>24</v>
      </c>
      <c r="O118" s="20">
        <v>24</v>
      </c>
      <c r="P118" s="33">
        <f t="shared" si="2"/>
        <v>3.9016999999999999</v>
      </c>
    </row>
    <row r="119" spans="1:16">
      <c r="A119" s="118" t="s">
        <v>57</v>
      </c>
      <c r="B119" s="18">
        <v>75</v>
      </c>
      <c r="C119" s="18">
        <v>419</v>
      </c>
      <c r="D119" s="18">
        <v>186</v>
      </c>
      <c r="E119" s="18">
        <v>10</v>
      </c>
      <c r="F119" s="18">
        <v>10</v>
      </c>
      <c r="G119" s="18">
        <v>2</v>
      </c>
      <c r="H119" s="18">
        <v>9</v>
      </c>
      <c r="I119" s="18">
        <v>16</v>
      </c>
      <c r="J119" s="18">
        <v>6</v>
      </c>
      <c r="K119" s="18">
        <v>227</v>
      </c>
      <c r="L119" s="18">
        <v>664</v>
      </c>
      <c r="M119" s="18">
        <v>473</v>
      </c>
      <c r="N119" s="18">
        <v>24</v>
      </c>
      <c r="O119" s="20">
        <v>8</v>
      </c>
      <c r="P119" s="33">
        <f t="shared" si="2"/>
        <v>11.198079999999996</v>
      </c>
    </row>
    <row r="120" spans="1:16">
      <c r="A120" s="118" t="s">
        <v>58</v>
      </c>
      <c r="B120" s="18">
        <v>100</v>
      </c>
      <c r="C120" s="18">
        <v>125</v>
      </c>
      <c r="D120" s="18">
        <v>110</v>
      </c>
      <c r="E120" s="18">
        <v>8</v>
      </c>
      <c r="F120" s="18">
        <v>3</v>
      </c>
      <c r="G120" s="18">
        <v>1</v>
      </c>
      <c r="H120" s="18">
        <v>4</v>
      </c>
      <c r="I120" s="18">
        <v>4</v>
      </c>
      <c r="J120" s="18">
        <v>4</v>
      </c>
      <c r="K120" s="18">
        <v>280</v>
      </c>
      <c r="L120" s="18">
        <v>460</v>
      </c>
      <c r="M120" s="18">
        <v>179</v>
      </c>
      <c r="N120" s="18">
        <v>22</v>
      </c>
      <c r="O120" s="20">
        <v>7</v>
      </c>
      <c r="P120" s="33">
        <f t="shared" si="2"/>
        <v>6.7041500000000003</v>
      </c>
    </row>
    <row r="121" spans="1:16">
      <c r="A121" s="118" t="s">
        <v>59</v>
      </c>
      <c r="B121" s="18">
        <v>229</v>
      </c>
      <c r="C121" s="18">
        <v>108</v>
      </c>
      <c r="D121" s="18">
        <v>447</v>
      </c>
      <c r="E121" s="18">
        <v>2</v>
      </c>
      <c r="F121" s="18">
        <v>12</v>
      </c>
      <c r="G121" s="18">
        <v>1</v>
      </c>
      <c r="H121" s="18">
        <v>5</v>
      </c>
      <c r="I121" s="18">
        <v>1</v>
      </c>
      <c r="J121" s="18">
        <v>4</v>
      </c>
      <c r="K121" s="18">
        <v>473</v>
      </c>
      <c r="L121" s="18">
        <v>136</v>
      </c>
      <c r="M121" s="19">
        <v>1072</v>
      </c>
      <c r="N121" s="18">
        <v>0</v>
      </c>
      <c r="O121" s="20">
        <v>7</v>
      </c>
      <c r="P121" s="33">
        <f t="shared" si="2"/>
        <v>9.8584599999999991</v>
      </c>
    </row>
    <row r="122" spans="1:16">
      <c r="A122" s="118" t="s">
        <v>60</v>
      </c>
      <c r="B122" s="18">
        <v>160</v>
      </c>
      <c r="C122" s="18">
        <v>561</v>
      </c>
      <c r="D122" s="18">
        <v>73</v>
      </c>
      <c r="E122" s="18">
        <v>14</v>
      </c>
      <c r="F122" s="18">
        <v>2</v>
      </c>
      <c r="G122" s="18">
        <v>2</v>
      </c>
      <c r="H122" s="18">
        <v>7</v>
      </c>
      <c r="I122" s="18">
        <v>8</v>
      </c>
      <c r="J122" s="18">
        <v>2</v>
      </c>
      <c r="K122" s="18">
        <v>562</v>
      </c>
      <c r="L122" s="19">
        <v>1386</v>
      </c>
      <c r="M122" s="18">
        <v>288</v>
      </c>
      <c r="N122" s="18">
        <v>54</v>
      </c>
      <c r="O122" s="20">
        <v>6</v>
      </c>
      <c r="P122" s="33">
        <f t="shared" si="2"/>
        <v>15.22289</v>
      </c>
    </row>
    <row r="123" spans="1:16">
      <c r="A123" s="118" t="s">
        <v>61</v>
      </c>
      <c r="B123" s="18">
        <v>164</v>
      </c>
      <c r="C123" s="18">
        <v>300</v>
      </c>
      <c r="D123" s="18">
        <v>78</v>
      </c>
      <c r="E123" s="18">
        <v>9</v>
      </c>
      <c r="F123" s="18">
        <v>5</v>
      </c>
      <c r="G123" s="18">
        <v>2</v>
      </c>
      <c r="H123" s="18">
        <v>15</v>
      </c>
      <c r="I123" s="18">
        <v>5</v>
      </c>
      <c r="J123" s="18">
        <v>2</v>
      </c>
      <c r="K123" s="18">
        <v>300</v>
      </c>
      <c r="L123" s="18">
        <v>540</v>
      </c>
      <c r="M123" s="18">
        <v>265</v>
      </c>
      <c r="N123" s="18">
        <v>36</v>
      </c>
      <c r="O123" s="20">
        <v>7</v>
      </c>
      <c r="P123" s="33">
        <f t="shared" si="2"/>
        <v>12.950190000000003</v>
      </c>
    </row>
    <row r="124" spans="1:16">
      <c r="A124" s="118" t="s">
        <v>62</v>
      </c>
      <c r="B124" s="18">
        <v>129</v>
      </c>
      <c r="C124" s="18">
        <v>351</v>
      </c>
      <c r="D124" s="18">
        <v>82</v>
      </c>
      <c r="E124" s="18">
        <v>6</v>
      </c>
      <c r="F124" s="18">
        <v>2</v>
      </c>
      <c r="G124" s="18">
        <v>0</v>
      </c>
      <c r="H124" s="18">
        <v>7</v>
      </c>
      <c r="I124" s="18">
        <v>12</v>
      </c>
      <c r="J124" s="18">
        <v>28</v>
      </c>
      <c r="K124" s="18">
        <v>404</v>
      </c>
      <c r="L124" s="18">
        <v>575</v>
      </c>
      <c r="M124" s="18">
        <v>170</v>
      </c>
      <c r="N124" s="18">
        <v>17</v>
      </c>
      <c r="O124" s="20">
        <v>9</v>
      </c>
      <c r="P124" s="33">
        <f t="shared" si="2"/>
        <v>9.6093100000000007</v>
      </c>
    </row>
    <row r="125" spans="1:16">
      <c r="A125" s="21" t="s">
        <v>63</v>
      </c>
      <c r="B125" s="18">
        <v>419</v>
      </c>
      <c r="C125" s="19">
        <v>1075</v>
      </c>
      <c r="D125" s="18">
        <v>130</v>
      </c>
      <c r="E125" s="18">
        <v>29</v>
      </c>
      <c r="F125" s="18">
        <v>10</v>
      </c>
      <c r="G125" s="18">
        <v>4</v>
      </c>
      <c r="H125" s="18">
        <v>33</v>
      </c>
      <c r="I125" s="18">
        <v>6</v>
      </c>
      <c r="J125" s="18">
        <v>18</v>
      </c>
      <c r="K125" s="19">
        <v>1676</v>
      </c>
      <c r="L125" s="19">
        <v>3870</v>
      </c>
      <c r="M125" s="18">
        <v>468</v>
      </c>
      <c r="N125" s="18">
        <v>0</v>
      </c>
      <c r="O125" s="20">
        <v>7</v>
      </c>
      <c r="P125" s="33">
        <f t="shared" si="2"/>
        <v>35.9251</v>
      </c>
    </row>
    <row r="126" spans="1:16" ht="22.5">
      <c r="A126" s="118" t="s">
        <v>64</v>
      </c>
      <c r="B126" s="18">
        <v>109</v>
      </c>
      <c r="C126" s="18">
        <v>188</v>
      </c>
      <c r="D126" s="18">
        <v>375</v>
      </c>
      <c r="E126" s="18">
        <v>5</v>
      </c>
      <c r="F126" s="18">
        <v>16</v>
      </c>
      <c r="G126" s="18">
        <v>3</v>
      </c>
      <c r="H126" s="18">
        <v>8</v>
      </c>
      <c r="I126" s="18">
        <v>6</v>
      </c>
      <c r="J126" s="18">
        <v>20</v>
      </c>
      <c r="K126" s="18">
        <v>180</v>
      </c>
      <c r="L126" s="18">
        <v>187</v>
      </c>
      <c r="M126" s="19">
        <v>1260</v>
      </c>
      <c r="N126" s="18">
        <v>18</v>
      </c>
      <c r="O126" s="20">
        <v>9</v>
      </c>
      <c r="P126" s="33">
        <f t="shared" si="2"/>
        <v>9.7337999999999987</v>
      </c>
    </row>
    <row r="127" spans="1:16" ht="14.25" thickBot="1">
      <c r="A127" s="22" t="s">
        <v>65</v>
      </c>
      <c r="B127" s="23">
        <f>SUM(B108:B126)</f>
        <v>3663</v>
      </c>
      <c r="C127" s="23">
        <f t="shared" ref="C127" si="3">SUM(C108:C126)</f>
        <v>7013</v>
      </c>
      <c r="D127" s="23">
        <f t="shared" ref="D127" si="4">SUM(D108:D126)</f>
        <v>3524</v>
      </c>
      <c r="E127" s="23">
        <f t="shared" ref="E127" si="5">SUM(E108:E126)</f>
        <v>215</v>
      </c>
      <c r="F127" s="23">
        <f t="shared" ref="F127" si="6">SUM(F108:F126)</f>
        <v>491</v>
      </c>
      <c r="G127" s="23">
        <f t="shared" ref="G127" si="7">SUM(G108:G126)</f>
        <v>34</v>
      </c>
      <c r="H127" s="23">
        <f t="shared" ref="H127" si="8">SUM(H108:H126)</f>
        <v>176</v>
      </c>
      <c r="I127" s="23">
        <f t="shared" ref="I127" si="9">SUM(I108:I126)</f>
        <v>268</v>
      </c>
      <c r="J127" s="23">
        <f t="shared" ref="J127" si="10">SUM(J108:J126)</f>
        <v>143</v>
      </c>
      <c r="K127" s="23">
        <f t="shared" ref="K127" si="11">SUM(K108:K126)</f>
        <v>8731</v>
      </c>
      <c r="L127" s="23">
        <f t="shared" ref="L127" si="12">SUM(L108:L126)</f>
        <v>16508</v>
      </c>
      <c r="M127" s="23">
        <f t="shared" ref="M127" si="13">SUM(M108:M126)</f>
        <v>9270</v>
      </c>
      <c r="N127" s="23">
        <f t="shared" ref="N127" si="14">SUM(N108:N126)</f>
        <v>1019</v>
      </c>
      <c r="O127" s="24">
        <f t="shared" ref="O127" si="15">SUM(O108:O126)</f>
        <v>211</v>
      </c>
      <c r="P127" s="32">
        <f>SUM(P108:P126)</f>
        <v>274.16156999999998</v>
      </c>
    </row>
  </sheetData>
  <sheetProtection password="FADC" sheet="1" objects="1" scenarios="1"/>
  <mergeCells count="33">
    <mergeCell ref="G28:G39"/>
    <mergeCell ref="G40:G51"/>
    <mergeCell ref="I1:I2"/>
    <mergeCell ref="H1:H2"/>
    <mergeCell ref="A3:A22"/>
    <mergeCell ref="F1:G1"/>
    <mergeCell ref="E1:E2"/>
    <mergeCell ref="C1:C2"/>
    <mergeCell ref="B1:B2"/>
    <mergeCell ref="A1:A2"/>
    <mergeCell ref="D1:D2"/>
    <mergeCell ref="A54:A79"/>
    <mergeCell ref="A28:A51"/>
    <mergeCell ref="A82:A83"/>
    <mergeCell ref="B82:D82"/>
    <mergeCell ref="E82:F82"/>
    <mergeCell ref="F67:F79"/>
    <mergeCell ref="F54:F65"/>
    <mergeCell ref="A106:A107"/>
    <mergeCell ref="B106:D106"/>
    <mergeCell ref="E106:F106"/>
    <mergeCell ref="G106:G107"/>
    <mergeCell ref="H106:J106"/>
    <mergeCell ref="G82:G83"/>
    <mergeCell ref="H82:J82"/>
    <mergeCell ref="K82:M82"/>
    <mergeCell ref="N82:N83"/>
    <mergeCell ref="O82:O83"/>
    <mergeCell ref="P82:P83"/>
    <mergeCell ref="P106:P107"/>
    <mergeCell ref="K106:M106"/>
    <mergeCell ref="N106:N107"/>
    <mergeCell ref="O106:O107"/>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45</vt:i4>
      </vt:variant>
    </vt:vector>
  </HeadingPairs>
  <TitlesOfParts>
    <vt:vector size="54" baseType="lpstr">
      <vt:lpstr>使用说明</vt:lpstr>
      <vt:lpstr>数据收集</vt:lpstr>
      <vt:lpstr>排放量计算表</vt:lpstr>
      <vt:lpstr>数据计算</vt:lpstr>
      <vt:lpstr>2级方法</vt:lpstr>
      <vt:lpstr>3级方法</vt:lpstr>
      <vt:lpstr>4级方法</vt:lpstr>
      <vt:lpstr>5级方法</vt:lpstr>
      <vt:lpstr>基础数据</vt:lpstr>
      <vt:lpstr>二级参数</vt:lpstr>
      <vt:lpstr>二级石油化工</vt:lpstr>
      <vt:lpstr>二级石油化工泵</vt:lpstr>
      <vt:lpstr>二级石油化工阀门</vt:lpstr>
      <vt:lpstr>二级石油化工法兰</vt:lpstr>
      <vt:lpstr>二级石油化工搅拌器</vt:lpstr>
      <vt:lpstr>二级石油化工开口阀或开口管线</vt:lpstr>
      <vt:lpstr>二级石油化工连接件</vt:lpstr>
      <vt:lpstr>二级石油化工其他</vt:lpstr>
      <vt:lpstr>二级石油化工泄压设备</vt:lpstr>
      <vt:lpstr>二级石油化工压缩机</vt:lpstr>
      <vt:lpstr>二级石油炼制</vt:lpstr>
      <vt:lpstr>二级石油炼制泵</vt:lpstr>
      <vt:lpstr>二级石油炼制阀门</vt:lpstr>
      <vt:lpstr>二级石油炼制法兰</vt:lpstr>
      <vt:lpstr>二级石油炼制搅拌器</vt:lpstr>
      <vt:lpstr>二级石油炼制开口阀或开口管线</vt:lpstr>
      <vt:lpstr>二级石油炼制连接件</vt:lpstr>
      <vt:lpstr>二级石油炼制其他</vt:lpstr>
      <vt:lpstr>二级石油炼制泄压设备</vt:lpstr>
      <vt:lpstr>二级石油炼制压缩机</vt:lpstr>
      <vt:lpstr>方法等级</vt:lpstr>
      <vt:lpstr>核算方法</vt:lpstr>
      <vt:lpstr>三级泵</vt:lpstr>
      <vt:lpstr>三级参数</vt:lpstr>
      <vt:lpstr>三级阀</vt:lpstr>
      <vt:lpstr>三级法兰</vt:lpstr>
      <vt:lpstr>三级搅拌器</vt:lpstr>
      <vt:lpstr>三级开口管线</vt:lpstr>
      <vt:lpstr>三级连接件</vt:lpstr>
      <vt:lpstr>三级设备</vt:lpstr>
      <vt:lpstr>三级泄压设备</vt:lpstr>
      <vt:lpstr>三级压缩机</vt:lpstr>
      <vt:lpstr>实测</vt:lpstr>
      <vt:lpstr>四级泵</vt:lpstr>
      <vt:lpstr>四级阀门</vt:lpstr>
      <vt:lpstr>四级法兰</vt:lpstr>
      <vt:lpstr>四级搅拌机密封</vt:lpstr>
      <vt:lpstr>四级开口阀或开口管线</vt:lpstr>
      <vt:lpstr>四级连接件</vt:lpstr>
      <vt:lpstr>四级其他</vt:lpstr>
      <vt:lpstr>四级取样连接系统</vt:lpstr>
      <vt:lpstr>四级设备</vt:lpstr>
      <vt:lpstr>四级泄压设备</vt:lpstr>
      <vt:lpstr>四级压缩机</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2015-10-14T00:46:54Z</dcterms:modified>
</cp:coreProperties>
</file>